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192.39.37\医療政策課 課共有\22_初期救急あり方検討\■R8_休日夜間診療所あり方検討支援業務\260408_プロポ起案★\05_公告について（紙・理事決裁）\02_施行\市ホームページ掲載用（CMS）\"/>
    </mc:Choice>
  </mc:AlternateContent>
  <xr:revisionPtr revIDLastSave="0" documentId="13_ncr:1_{CAFD9939-890C-4A6A-B7A7-810AAA61797C}" xr6:coauthVersionLast="47" xr6:coauthVersionMax="47" xr10:uidLastSave="{00000000-0000-0000-0000-000000000000}"/>
  <bookViews>
    <workbookView xWindow="-120" yWindow="-120" windowWidth="29040" windowHeight="15720" tabRatio="983" xr2:uid="{00000000-000D-0000-FFFF-FFFF00000000}"/>
  </bookViews>
  <sheets>
    <sheet name="①②③患者数" sheetId="233" r:id="rId1"/>
    <sheet name="④二次転送" sheetId="241" r:id="rId2"/>
    <sheet name="⑤検査等" sheetId="234" r:id="rId3"/>
    <sheet name="⑥6年5年比較 " sheetId="235" r:id="rId4"/>
    <sheet name="⑦各区毎の患者数" sheetId="237" r:id="rId5"/>
    <sheet name="⑧市内市外受診状況" sheetId="238" r:id="rId6"/>
    <sheet name="⑨年齢別患者数 " sheetId="236" r:id="rId7"/>
    <sheet name="⑩時間帯別総括表 " sheetId="240" r:id="rId8"/>
    <sheet name="⑪診療科目別総括表" sheetId="239" r:id="rId9"/>
  </sheets>
  <definedNames>
    <definedName name="_xlnm.Print_Area" localSheetId="0">①②③患者数!$B$1:$BI$23</definedName>
    <definedName name="_xlnm.Print_Area" localSheetId="1">④二次転送!$C$1:$AZ$46</definedName>
    <definedName name="_xlnm.Print_Area" localSheetId="2">⑤検査等!$A$1:$U$62</definedName>
    <definedName name="_xlnm.Print_Area" localSheetId="3">'⑥6年5年比較 '!$A$1:$X$45</definedName>
    <definedName name="_xlnm.Print_Area" localSheetId="4">⑦各区毎の患者数!$A$1:$L$46</definedName>
    <definedName name="_xlnm.Print_Area" localSheetId="5">⑧市内市外受診状況!$A$1:$S$31</definedName>
    <definedName name="_xlnm.Print_Area" localSheetId="6">'⑨年齢別患者数 '!$A$1:$M$36</definedName>
    <definedName name="_xlnm.Print_Area" localSheetId="7">'⑩時間帯別総括表 '!$A$1:$Q$15</definedName>
    <definedName name="_xlnm.Print_Area" localSheetId="8">⑪診療科目別総括表!$A$1:$Q$15</definedName>
    <definedName name="あ" localSheetId="0">#REF!</definedName>
    <definedName name="あ" localSheetId="1">#REF!</definedName>
    <definedName name="あ" localSheetId="2">#REF!</definedName>
    <definedName name="あ" localSheetId="3">#REF!</definedName>
    <definedName name="あ" localSheetId="4">#REF!</definedName>
    <definedName name="あ" localSheetId="5">#REF!</definedName>
    <definedName name="あ" localSheetId="6">#REF!</definedName>
    <definedName name="あ" localSheetId="7">#REF!</definedName>
    <definedName name="あ" localSheetId="8">#REF!</definedName>
    <definedName name="あ">#REF!</definedName>
    <definedName name="あ1" localSheetId="0">#REF!</definedName>
    <definedName name="あ1" localSheetId="1">#REF!</definedName>
    <definedName name="あ1" localSheetId="2">#REF!</definedName>
    <definedName name="あ1" localSheetId="3">#REF!</definedName>
    <definedName name="あ1" localSheetId="4">#REF!</definedName>
    <definedName name="あ1" localSheetId="5">#REF!</definedName>
    <definedName name="あ1" localSheetId="6">#REF!</definedName>
    <definedName name="あ1" localSheetId="7">#REF!</definedName>
    <definedName name="あ1" localSheetId="8">#REF!</definedName>
    <definedName name="あ1">#REF!</definedName>
    <definedName name="あ900" localSheetId="0">#REF!</definedName>
    <definedName name="あ900" localSheetId="1">#REF!</definedName>
    <definedName name="あ900" localSheetId="2">#REF!</definedName>
    <definedName name="あ900" localSheetId="3">#REF!</definedName>
    <definedName name="あ900" localSheetId="4">#REF!</definedName>
    <definedName name="あ900" localSheetId="5">#REF!</definedName>
    <definedName name="あ900" localSheetId="6">#REF!</definedName>
    <definedName name="あ900" localSheetId="7">#REF!</definedName>
    <definedName name="あ900" localSheetId="8">#REF!</definedName>
    <definedName name="あ900">#REF!</definedName>
    <definedName name="あう250" localSheetId="0">#REF!</definedName>
    <definedName name="あう250" localSheetId="1">#REF!</definedName>
    <definedName name="あう250" localSheetId="2">#REF!</definedName>
    <definedName name="あう250" localSheetId="3">#REF!</definedName>
    <definedName name="あう250" localSheetId="4">#REF!</definedName>
    <definedName name="あう250" localSheetId="5">#REF!</definedName>
    <definedName name="あう250" localSheetId="6">#REF!</definedName>
    <definedName name="あう250" localSheetId="7">#REF!</definedName>
    <definedName name="あう250" localSheetId="8">#REF!</definedName>
    <definedName name="あう250">#REF!</definedName>
    <definedName name="こども" localSheetId="0">#REF!</definedName>
    <definedName name="こども" localSheetId="1">#REF!</definedName>
    <definedName name="こども" localSheetId="2">#REF!</definedName>
    <definedName name="こども" localSheetId="3">#REF!</definedName>
    <definedName name="こども" localSheetId="4">#REF!</definedName>
    <definedName name="こども" localSheetId="5">#REF!</definedName>
    <definedName name="こども" localSheetId="6">#REF!</definedName>
    <definedName name="こども" localSheetId="7">#REF!</definedName>
    <definedName name="こども" localSheetId="8">#REF!</definedName>
    <definedName name="こども">#REF!</definedName>
    <definedName name="こども2999" localSheetId="0">#REF!</definedName>
    <definedName name="こども2999" localSheetId="1">#REF!</definedName>
    <definedName name="こども2999" localSheetId="2">#REF!</definedName>
    <definedName name="こども2999" localSheetId="3">#REF!</definedName>
    <definedName name="こども2999" localSheetId="4">#REF!</definedName>
    <definedName name="こども2999" localSheetId="5">#REF!</definedName>
    <definedName name="こども2999" localSheetId="6">#REF!</definedName>
    <definedName name="こども2999" localSheetId="7">#REF!</definedName>
    <definedName name="こども2999" localSheetId="8">#REF!</definedName>
    <definedName name="こども2999">#REF!</definedName>
    <definedName name="こども検査" localSheetId="0">#REF!</definedName>
    <definedName name="こども検査" localSheetId="1">#REF!</definedName>
    <definedName name="こども検査" localSheetId="2">#REF!</definedName>
    <definedName name="こども検査" localSheetId="3">#REF!</definedName>
    <definedName name="こども検査" localSheetId="4">#REF!</definedName>
    <definedName name="こども検査" localSheetId="5">#REF!</definedName>
    <definedName name="こども検査" localSheetId="6">#REF!</definedName>
    <definedName name="こども検査" localSheetId="7">#REF!</definedName>
    <definedName name="こども検査" localSheetId="8">#REF!</definedName>
    <definedName name="こども検査">#REF!</definedName>
    <definedName name="こども検査100" localSheetId="0">#REF!</definedName>
    <definedName name="こども検査100" localSheetId="1">#REF!</definedName>
    <definedName name="こども検査100" localSheetId="2">#REF!</definedName>
    <definedName name="こども検査100" localSheetId="3">#REF!</definedName>
    <definedName name="こども検査100" localSheetId="4">#REF!</definedName>
    <definedName name="こども検査100" localSheetId="5">#REF!</definedName>
    <definedName name="こども検査100" localSheetId="6">#REF!</definedName>
    <definedName name="こども検査100" localSheetId="7">#REF!</definedName>
    <definedName name="こども検査100" localSheetId="8">#REF!</definedName>
    <definedName name="こども検査100">#REF!</definedName>
    <definedName name="こども検査等" localSheetId="0">#REF!</definedName>
    <definedName name="こども検査等" localSheetId="1">#REF!</definedName>
    <definedName name="こども検査等" localSheetId="2">#REF!</definedName>
    <definedName name="こども検査等" localSheetId="3">#REF!</definedName>
    <definedName name="こども検査等" localSheetId="4">#REF!</definedName>
    <definedName name="こども検査等" localSheetId="5">#REF!</definedName>
    <definedName name="こども検査等" localSheetId="6">#REF!</definedName>
    <definedName name="こども検査等" localSheetId="7">#REF!</definedName>
    <definedName name="こども検査等" localSheetId="8">#REF!</definedName>
    <definedName name="こども検査等">#REF!</definedName>
    <definedName name="こども検査等26" localSheetId="0">#REF!</definedName>
    <definedName name="こども検査等26" localSheetId="1">#REF!</definedName>
    <definedName name="こども検査等26" localSheetId="2">#REF!</definedName>
    <definedName name="こども検査等26" localSheetId="3">#REF!</definedName>
    <definedName name="こども検査等26" localSheetId="4">#REF!</definedName>
    <definedName name="こども検査等26" localSheetId="5">#REF!</definedName>
    <definedName name="こども検査等26" localSheetId="6">#REF!</definedName>
    <definedName name="こども検査等26" localSheetId="7">#REF!</definedName>
    <definedName name="こども検査等26" localSheetId="8">#REF!</definedName>
    <definedName name="こども検査等26">#REF!</definedName>
    <definedName name="こども検査等27" localSheetId="0">#REF!</definedName>
    <definedName name="こども検査等27" localSheetId="1">#REF!</definedName>
    <definedName name="こども検査等27" localSheetId="2">#REF!</definedName>
    <definedName name="こども検査等27" localSheetId="3">#REF!</definedName>
    <definedName name="こども検査等27" localSheetId="4">#REF!</definedName>
    <definedName name="こども検査等27" localSheetId="5">#REF!</definedName>
    <definedName name="こども検査等27" localSheetId="6">#REF!</definedName>
    <definedName name="こども検査等27" localSheetId="7">#REF!</definedName>
    <definedName name="こども検査等27" localSheetId="8">#REF!</definedName>
    <definedName name="こども検査等27">#REF!</definedName>
    <definedName name="監査H26.5" localSheetId="0">#REF!</definedName>
    <definedName name="監査H26.5" localSheetId="1">#REF!</definedName>
    <definedName name="監査H26.5" localSheetId="2">#REF!</definedName>
    <definedName name="監査H26.5" localSheetId="3">#REF!</definedName>
    <definedName name="監査H26.5" localSheetId="4">#REF!</definedName>
    <definedName name="監査H26.5" localSheetId="5">#REF!</definedName>
    <definedName name="監査H26.5" localSheetId="6">#REF!</definedName>
    <definedName name="監査H26.5" localSheetId="7">#REF!</definedName>
    <definedName name="監査H26.5" localSheetId="8">#REF!</definedName>
    <definedName name="監査H26.5">#REF!</definedName>
    <definedName name="監査資料目次H26.5" localSheetId="0">#REF!</definedName>
    <definedName name="監査資料目次H26.5" localSheetId="1">#REF!</definedName>
    <definedName name="監査資料目次H26.5" localSheetId="2">#REF!</definedName>
    <definedName name="監査資料目次H26.5" localSheetId="3">#REF!</definedName>
    <definedName name="監査資料目次H26.5" localSheetId="4">#REF!</definedName>
    <definedName name="監査資料目次H26.5" localSheetId="5">#REF!</definedName>
    <definedName name="監査資料目次H26.5" localSheetId="6">#REF!</definedName>
    <definedName name="監査資料目次H26.5" localSheetId="7">#REF!</definedName>
    <definedName name="監査資料目次H26.5" localSheetId="8">#REF!</definedName>
    <definedName name="監査資料目次H26.5">#REF!</definedName>
    <definedName name="済" localSheetId="0">#REF!</definedName>
    <definedName name="済" localSheetId="1">#REF!</definedName>
    <definedName name="済" localSheetId="2">#REF!</definedName>
    <definedName name="済" localSheetId="3">#REF!</definedName>
    <definedName name="済" localSheetId="4">#REF!</definedName>
    <definedName name="済" localSheetId="5">#REF!</definedName>
    <definedName name="済" localSheetId="6">#REF!</definedName>
    <definedName name="済" localSheetId="7">#REF!</definedName>
    <definedName name="済" localSheetId="8">#REF!</definedName>
    <definedName name="済">#REF!</definedName>
    <definedName name="目次1月" localSheetId="0">#REF!</definedName>
    <definedName name="目次1月" localSheetId="1">#REF!</definedName>
    <definedName name="目次1月" localSheetId="2">#REF!</definedName>
    <definedName name="目次1月" localSheetId="3">#REF!</definedName>
    <definedName name="目次1月" localSheetId="4">#REF!</definedName>
    <definedName name="目次1月" localSheetId="5">#REF!</definedName>
    <definedName name="目次1月" localSheetId="6">#REF!</definedName>
    <definedName name="目次1月" localSheetId="7">#REF!</definedName>
    <definedName name="目次1月" localSheetId="8">#REF!</definedName>
    <definedName name="目次1月">#REF!</definedName>
    <definedName name="理事会" localSheetId="0">#REF!</definedName>
    <definedName name="理事会" localSheetId="1">#REF!</definedName>
    <definedName name="理事会" localSheetId="2">#REF!</definedName>
    <definedName name="理事会" localSheetId="3">#REF!</definedName>
    <definedName name="理事会" localSheetId="4">#REF!</definedName>
    <definedName name="理事会" localSheetId="5">#REF!</definedName>
    <definedName name="理事会" localSheetId="6">#REF!</definedName>
    <definedName name="理事会" localSheetId="7">#REF!</definedName>
    <definedName name="理事会" localSheetId="8">#REF!</definedName>
    <definedName name="理事会">#REF!</definedName>
    <definedName name="理事会529" localSheetId="0">#REF!</definedName>
    <definedName name="理事会529" localSheetId="1">#REF!</definedName>
    <definedName name="理事会529" localSheetId="2">#REF!</definedName>
    <definedName name="理事会529" localSheetId="3">#REF!</definedName>
    <definedName name="理事会529" localSheetId="4">#REF!</definedName>
    <definedName name="理事会529" localSheetId="5">#REF!</definedName>
    <definedName name="理事会529" localSheetId="6">#REF!</definedName>
    <definedName name="理事会529" localSheetId="7">#REF!</definedName>
    <definedName name="理事会529" localSheetId="8">#REF!</definedName>
    <definedName name="理事会529">#REF!</definedName>
    <definedName name="理事会540" localSheetId="0">#REF!</definedName>
    <definedName name="理事会540" localSheetId="1">#REF!</definedName>
    <definedName name="理事会540" localSheetId="2">#REF!</definedName>
    <definedName name="理事会540" localSheetId="3">#REF!</definedName>
    <definedName name="理事会540" localSheetId="4">#REF!</definedName>
    <definedName name="理事会540" localSheetId="5">#REF!</definedName>
    <definedName name="理事会540" localSheetId="6">#REF!</definedName>
    <definedName name="理事会540" localSheetId="7">#REF!</definedName>
    <definedName name="理事会540" localSheetId="8">#REF!</definedName>
    <definedName name="理事会54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7" i="233" l="1"/>
  <c r="N23" i="233" s="1"/>
  <c r="AC5" i="233"/>
  <c r="AG5" i="233"/>
  <c r="AL5" i="233"/>
  <c r="AM5" i="233"/>
  <c r="AN5" i="233"/>
  <c r="AO5" i="233"/>
  <c r="AP5" i="233"/>
  <c r="AC6" i="233"/>
  <c r="AG6" i="233"/>
  <c r="AL6" i="233"/>
  <c r="AM6" i="233"/>
  <c r="AN6" i="233"/>
  <c r="AO6" i="233"/>
  <c r="AP6" i="233"/>
  <c r="AC7" i="233"/>
  <c r="AG7" i="233"/>
  <c r="AL7" i="233"/>
  <c r="AM7" i="233"/>
  <c r="AN7" i="233"/>
  <c r="AO7" i="233"/>
  <c r="AP7" i="233"/>
  <c r="AC8" i="233"/>
  <c r="AG8" i="233"/>
  <c r="AL8" i="233"/>
  <c r="AM8" i="233"/>
  <c r="AN8" i="233"/>
  <c r="AO8" i="233"/>
  <c r="AP8" i="233"/>
  <c r="AC9" i="233"/>
  <c r="AG9" i="233"/>
  <c r="AL9" i="233"/>
  <c r="AM9" i="233"/>
  <c r="AN9" i="233"/>
  <c r="AO9" i="233"/>
  <c r="AP9" i="233"/>
  <c r="AC10" i="233"/>
  <c r="AG10" i="233"/>
  <c r="AL10" i="233"/>
  <c r="AM10" i="233"/>
  <c r="AN10" i="233"/>
  <c r="AO10" i="233"/>
  <c r="AP10" i="233"/>
  <c r="AC11" i="233"/>
  <c r="AG11" i="233"/>
  <c r="AL11" i="233"/>
  <c r="AM11" i="233"/>
  <c r="AN11" i="233"/>
  <c r="AO11" i="233"/>
  <c r="AP11" i="233"/>
  <c r="AC12" i="233"/>
  <c r="AG12" i="233"/>
  <c r="AL12" i="233"/>
  <c r="AM12" i="233"/>
  <c r="AN12" i="233"/>
  <c r="AO12" i="233"/>
  <c r="AP12" i="233"/>
  <c r="AC13" i="233"/>
  <c r="AG13" i="233"/>
  <c r="AL13" i="233"/>
  <c r="AM13" i="233"/>
  <c r="AN13" i="233"/>
  <c r="AO13" i="233"/>
  <c r="AP13" i="233"/>
  <c r="AC14" i="233"/>
  <c r="AG14" i="233"/>
  <c r="AL14" i="233"/>
  <c r="AM14" i="233"/>
  <c r="AN14" i="233"/>
  <c r="AQ14" i="233" s="1"/>
  <c r="AO14" i="233"/>
  <c r="AP14" i="233"/>
  <c r="AC15" i="233"/>
  <c r="AG15" i="233"/>
  <c r="AL15" i="233"/>
  <c r="AM15" i="233"/>
  <c r="AN15" i="233"/>
  <c r="AO15" i="233"/>
  <c r="AP15" i="233"/>
  <c r="AC16" i="233"/>
  <c r="AG16" i="233"/>
  <c r="AL16" i="233"/>
  <c r="AM16" i="233"/>
  <c r="AN16" i="233"/>
  <c r="AO16" i="233"/>
  <c r="AP16" i="233"/>
  <c r="C11" i="233"/>
  <c r="D11" i="233"/>
  <c r="J11" i="233"/>
  <c r="L11" i="233"/>
  <c r="R11" i="233"/>
  <c r="S11" i="233"/>
  <c r="T11" i="233"/>
  <c r="U11" i="233"/>
  <c r="C12" i="233"/>
  <c r="D12" i="233"/>
  <c r="J12" i="233"/>
  <c r="L12" i="233"/>
  <c r="R12" i="233"/>
  <c r="S12" i="233"/>
  <c r="T12" i="233"/>
  <c r="U12" i="233"/>
  <c r="C13" i="233"/>
  <c r="D13" i="233"/>
  <c r="Q13" i="233" s="1"/>
  <c r="J13" i="233"/>
  <c r="L13" i="233"/>
  <c r="R13" i="233"/>
  <c r="S13" i="233"/>
  <c r="T13" i="233"/>
  <c r="U13" i="233"/>
  <c r="I14" i="233"/>
  <c r="M14" i="233"/>
  <c r="O14" i="233"/>
  <c r="P14" i="233"/>
  <c r="Q14" i="233"/>
  <c r="R14" i="233"/>
  <c r="S14" i="233"/>
  <c r="T14" i="233"/>
  <c r="U14" i="233"/>
  <c r="C15" i="233"/>
  <c r="P15" i="233" s="1"/>
  <c r="D15" i="233"/>
  <c r="J15" i="233"/>
  <c r="L15" i="233"/>
  <c r="R15" i="233"/>
  <c r="S15" i="233"/>
  <c r="T15" i="233"/>
  <c r="U15" i="233"/>
  <c r="C16" i="233"/>
  <c r="P16" i="233" s="1"/>
  <c r="D16" i="233"/>
  <c r="J16" i="233"/>
  <c r="L16" i="233"/>
  <c r="R16" i="233"/>
  <c r="S16" i="233"/>
  <c r="T16" i="233"/>
  <c r="U16" i="233"/>
  <c r="C41" i="234"/>
  <c r="Q41" i="234"/>
  <c r="K30" i="237"/>
  <c r="J30" i="237"/>
  <c r="H30" i="237"/>
  <c r="G30" i="237"/>
  <c r="F30" i="237"/>
  <c r="E30" i="237"/>
  <c r="D30" i="237"/>
  <c r="I29" i="237"/>
  <c r="L29" i="237" s="1"/>
  <c r="I28" i="237"/>
  <c r="L28" i="237" s="1"/>
  <c r="I27" i="237"/>
  <c r="L27" i="237" s="1"/>
  <c r="I26" i="237"/>
  <c r="K25" i="237"/>
  <c r="J25" i="237"/>
  <c r="H25" i="237"/>
  <c r="G25" i="237"/>
  <c r="F25" i="237"/>
  <c r="E25" i="237"/>
  <c r="D25" i="237"/>
  <c r="I24" i="237"/>
  <c r="L24" i="237" s="1"/>
  <c r="I23" i="237"/>
  <c r="L23" i="237" s="1"/>
  <c r="I22" i="237"/>
  <c r="L22" i="237" s="1"/>
  <c r="K21" i="237"/>
  <c r="J21" i="237"/>
  <c r="H21" i="237"/>
  <c r="G21" i="237"/>
  <c r="F21" i="237"/>
  <c r="E21" i="237"/>
  <c r="D21" i="237"/>
  <c r="E11" i="237"/>
  <c r="F11" i="237"/>
  <c r="G11" i="237"/>
  <c r="H11" i="237"/>
  <c r="J11" i="237"/>
  <c r="K11" i="237"/>
  <c r="D11" i="237"/>
  <c r="K16" i="237"/>
  <c r="J16" i="237"/>
  <c r="H16" i="237"/>
  <c r="G16" i="237"/>
  <c r="F16" i="237"/>
  <c r="E16" i="237"/>
  <c r="D16" i="237"/>
  <c r="E7" i="237"/>
  <c r="F7" i="237"/>
  <c r="G7" i="237"/>
  <c r="H7" i="237"/>
  <c r="J7" i="237"/>
  <c r="K7" i="237"/>
  <c r="D7" i="237"/>
  <c r="B28" i="236"/>
  <c r="J26" i="236"/>
  <c r="C26" i="236"/>
  <c r="B26" i="236"/>
  <c r="J22" i="236"/>
  <c r="J11" i="236"/>
  <c r="J9" i="236"/>
  <c r="C9" i="236"/>
  <c r="B9" i="236"/>
  <c r="J15" i="236"/>
  <c r="C15" i="236"/>
  <c r="B15" i="236"/>
  <c r="J13" i="236"/>
  <c r="C13" i="236"/>
  <c r="B13" i="236"/>
  <c r="J7" i="236"/>
  <c r="C7" i="236"/>
  <c r="K7" i="236" s="1"/>
  <c r="B7" i="236"/>
  <c r="J5" i="236"/>
  <c r="W22" i="241"/>
  <c r="X22" i="241"/>
  <c r="Y22" i="241"/>
  <c r="Z22" i="241"/>
  <c r="AA22" i="241"/>
  <c r="AB22" i="241"/>
  <c r="AC22" i="241"/>
  <c r="AD22" i="241"/>
  <c r="AE22" i="241"/>
  <c r="AF22" i="241"/>
  <c r="AG22" i="241"/>
  <c r="V22" i="241"/>
  <c r="Q33" i="241"/>
  <c r="Q34" i="241"/>
  <c r="Q35" i="241"/>
  <c r="Q36" i="241"/>
  <c r="Q37" i="241"/>
  <c r="Q32" i="241"/>
  <c r="F22" i="241"/>
  <c r="G22" i="241"/>
  <c r="H22" i="241"/>
  <c r="I22" i="241"/>
  <c r="J22" i="241"/>
  <c r="K22" i="241"/>
  <c r="L22" i="241"/>
  <c r="M22" i="241"/>
  <c r="N22" i="241"/>
  <c r="O22" i="241"/>
  <c r="P22" i="241"/>
  <c r="E22" i="241"/>
  <c r="Q4" i="241"/>
  <c r="Q5" i="241"/>
  <c r="Q6" i="241"/>
  <c r="Q7" i="241"/>
  <c r="Q8" i="241"/>
  <c r="Q9" i="241"/>
  <c r="Q10" i="241"/>
  <c r="Q11" i="241"/>
  <c r="Q12" i="241"/>
  <c r="Q13" i="241"/>
  <c r="Q14" i="241"/>
  <c r="Q15" i="241"/>
  <c r="Q16" i="241"/>
  <c r="Q17" i="241"/>
  <c r="Q18" i="241"/>
  <c r="Q19" i="241"/>
  <c r="Q20" i="241"/>
  <c r="Q21" i="241"/>
  <c r="Q3" i="241"/>
  <c r="AX25" i="241"/>
  <c r="H18" i="234"/>
  <c r="AM25" i="241"/>
  <c r="AY27" i="241"/>
  <c r="AY28" i="241"/>
  <c r="AY29" i="241"/>
  <c r="AY26" i="241"/>
  <c r="AR25" i="241"/>
  <c r="AS25" i="241"/>
  <c r="AT25" i="241"/>
  <c r="AU25" i="241"/>
  <c r="AV25" i="241"/>
  <c r="AW25" i="241"/>
  <c r="AN16" i="241"/>
  <c r="AO16" i="241"/>
  <c r="AP16" i="241"/>
  <c r="AQ16" i="241"/>
  <c r="AR16" i="241"/>
  <c r="AS16" i="241"/>
  <c r="AT16" i="241"/>
  <c r="AU16" i="241"/>
  <c r="AV16" i="241"/>
  <c r="AW16" i="241"/>
  <c r="AX16" i="241"/>
  <c r="AM16" i="241"/>
  <c r="AA25" i="241"/>
  <c r="AY3" i="241"/>
  <c r="AN13" i="241"/>
  <c r="AO13" i="241"/>
  <c r="AP13" i="241"/>
  <c r="AQ13" i="241"/>
  <c r="AR13" i="241"/>
  <c r="AS13" i="241"/>
  <c r="AT13" i="241"/>
  <c r="AU13" i="241"/>
  <c r="AV13" i="241"/>
  <c r="AW13" i="241"/>
  <c r="AX13" i="241"/>
  <c r="AM13" i="241"/>
  <c r="AY10" i="241"/>
  <c r="AY11" i="241"/>
  <c r="AY9" i="241"/>
  <c r="AY8" i="241"/>
  <c r="AY12" i="241"/>
  <c r="W34" i="241"/>
  <c r="X34" i="241"/>
  <c r="Y34" i="241"/>
  <c r="Z34" i="241"/>
  <c r="AA34" i="241"/>
  <c r="AB34" i="241"/>
  <c r="AC34" i="241"/>
  <c r="AD34" i="241"/>
  <c r="AE34" i="241"/>
  <c r="AF34" i="241"/>
  <c r="AG34" i="241"/>
  <c r="V34" i="241"/>
  <c r="N18" i="233" l="1"/>
  <c r="M13" i="233"/>
  <c r="N21" i="233"/>
  <c r="Q12" i="233"/>
  <c r="AQ11" i="233"/>
  <c r="AQ8" i="233"/>
  <c r="B8" i="236"/>
  <c r="E8" i="236"/>
  <c r="G8" i="236"/>
  <c r="F8" i="236"/>
  <c r="D8" i="236"/>
  <c r="H8" i="236"/>
  <c r="I8" i="236"/>
  <c r="J8" i="236"/>
  <c r="C8" i="236"/>
  <c r="Q11" i="233"/>
  <c r="M11" i="233"/>
  <c r="Q15" i="233"/>
  <c r="M16" i="233"/>
  <c r="AQ16" i="233"/>
  <c r="I13" i="233"/>
  <c r="Q16" i="233"/>
  <c r="AQ10" i="233"/>
  <c r="M15" i="233"/>
  <c r="AQ7" i="233"/>
  <c r="M12" i="233"/>
  <c r="AQ5" i="233"/>
  <c r="AQ13" i="233"/>
  <c r="I15" i="233"/>
  <c r="O13" i="233"/>
  <c r="O16" i="233"/>
  <c r="O15" i="233"/>
  <c r="V15" i="233" s="1"/>
  <c r="AQ9" i="233"/>
  <c r="P13" i="233"/>
  <c r="O12" i="233"/>
  <c r="AQ6" i="233"/>
  <c r="V14" i="233"/>
  <c r="AQ12" i="233"/>
  <c r="P12" i="233"/>
  <c r="AQ15" i="233"/>
  <c r="I16" i="233"/>
  <c r="Q22" i="241"/>
  <c r="R3" i="241" s="1"/>
  <c r="O11" i="233"/>
  <c r="I12" i="233"/>
  <c r="P11" i="233"/>
  <c r="I11" i="233"/>
  <c r="I30" i="237"/>
  <c r="L30" i="237" s="1"/>
  <c r="I25" i="237"/>
  <c r="L25" i="237" s="1"/>
  <c r="L26" i="237"/>
  <c r="AY25" i="241"/>
  <c r="AZ26" i="241"/>
  <c r="AZ29" i="241"/>
  <c r="AZ28" i="241"/>
  <c r="W25" i="241"/>
  <c r="X25" i="241"/>
  <c r="Y25" i="241"/>
  <c r="Z25" i="241"/>
  <c r="AB25" i="241"/>
  <c r="AC25" i="241"/>
  <c r="AD25" i="241"/>
  <c r="AE25" i="241"/>
  <c r="AF25" i="241"/>
  <c r="AG25" i="241"/>
  <c r="V25" i="241"/>
  <c r="AH19" i="241"/>
  <c r="AH20" i="241"/>
  <c r="AH15" i="241"/>
  <c r="AH21" i="241"/>
  <c r="AH12" i="241"/>
  <c r="G25" i="241"/>
  <c r="H25" i="241"/>
  <c r="I25" i="241"/>
  <c r="J25" i="241"/>
  <c r="K25" i="241"/>
  <c r="L25" i="241"/>
  <c r="M25" i="241"/>
  <c r="N25" i="241"/>
  <c r="O25" i="241"/>
  <c r="P25" i="241"/>
  <c r="E25" i="241"/>
  <c r="F25" i="241"/>
  <c r="F39" i="241"/>
  <c r="G39" i="241"/>
  <c r="H39" i="241"/>
  <c r="I39" i="241"/>
  <c r="J39" i="241"/>
  <c r="K39" i="241"/>
  <c r="L39" i="241"/>
  <c r="M39" i="241"/>
  <c r="N39" i="241"/>
  <c r="O39" i="241"/>
  <c r="E39" i="241"/>
  <c r="Q41" i="241"/>
  <c r="Q27" i="241"/>
  <c r="H34" i="234"/>
  <c r="L10" i="233"/>
  <c r="J10" i="233"/>
  <c r="D10" i="233"/>
  <c r="C10" i="233"/>
  <c r="AQ25" i="241"/>
  <c r="AP25" i="241"/>
  <c r="AO25" i="241"/>
  <c r="AN25" i="241"/>
  <c r="AY21" i="241"/>
  <c r="AY20" i="241"/>
  <c r="AY19" i="241"/>
  <c r="AY18" i="241"/>
  <c r="AW23" i="241"/>
  <c r="AV23" i="241"/>
  <c r="AU23" i="241"/>
  <c r="AT23" i="241"/>
  <c r="AS23" i="241"/>
  <c r="AR23" i="241"/>
  <c r="AQ23" i="241"/>
  <c r="AP23" i="241"/>
  <c r="AO23" i="241"/>
  <c r="AN23" i="241"/>
  <c r="AM23" i="241"/>
  <c r="AY6" i="241"/>
  <c r="AY7" i="241"/>
  <c r="AY5" i="241"/>
  <c r="AY4" i="241"/>
  <c r="AH37" i="241"/>
  <c r="AH34" i="241" s="1"/>
  <c r="AH32" i="241"/>
  <c r="AH31" i="241"/>
  <c r="AH29" i="241"/>
  <c r="AH28" i="241"/>
  <c r="AH27" i="241"/>
  <c r="AH18" i="241"/>
  <c r="AH14" i="241"/>
  <c r="AH17" i="241"/>
  <c r="AH16" i="241"/>
  <c r="AH13" i="241"/>
  <c r="AH8" i="241"/>
  <c r="AH10" i="241"/>
  <c r="AH11" i="241"/>
  <c r="AH9" i="241"/>
  <c r="AH7" i="241"/>
  <c r="AH6" i="241"/>
  <c r="AH3" i="241"/>
  <c r="AH5" i="241"/>
  <c r="AH4" i="241"/>
  <c r="Q43" i="241"/>
  <c r="Q42" i="241"/>
  <c r="Q40" i="241"/>
  <c r="Q30" i="241"/>
  <c r="Q29" i="241"/>
  <c r="Q28" i="241"/>
  <c r="V16" i="233" l="1"/>
  <c r="V12" i="233"/>
  <c r="V11" i="233"/>
  <c r="V13" i="233"/>
  <c r="AZ4" i="241"/>
  <c r="AZ20" i="241"/>
  <c r="AZ5" i="241"/>
  <c r="AZ7" i="241"/>
  <c r="AH22" i="241"/>
  <c r="AI27" i="241"/>
  <c r="AI28" i="241"/>
  <c r="AI29" i="241"/>
  <c r="AI14" i="241"/>
  <c r="AY13" i="241"/>
  <c r="AZ18" i="241"/>
  <c r="AY16" i="241"/>
  <c r="AH25" i="241"/>
  <c r="Q25" i="241"/>
  <c r="Q39" i="241"/>
  <c r="R41" i="241" s="1"/>
  <c r="AY23" i="241"/>
  <c r="R43" i="241" l="1"/>
  <c r="R42" i="241"/>
  <c r="AZ21" i="241"/>
  <c r="AZ8" i="241"/>
  <c r="AZ9" i="241"/>
  <c r="AZ10" i="241"/>
  <c r="AZ3" i="241"/>
  <c r="AZ11" i="241"/>
  <c r="AZ12" i="241"/>
  <c r="AI4" i="241"/>
  <c r="AI16" i="241"/>
  <c r="AI5" i="241"/>
  <c r="AI17" i="241"/>
  <c r="AI19" i="241"/>
  <c r="AI8" i="241"/>
  <c r="AI10" i="241"/>
  <c r="AI6" i="241"/>
  <c r="AI18" i="241"/>
  <c r="AI7" i="241"/>
  <c r="AI20" i="241"/>
  <c r="AI12" i="241"/>
  <c r="AI13" i="241"/>
  <c r="AI11" i="241"/>
  <c r="AI15" i="241"/>
  <c r="R40" i="241"/>
  <c r="R12" i="241"/>
  <c r="R11" i="241"/>
  <c r="R7" i="241"/>
  <c r="R19" i="241"/>
  <c r="R8" i="241"/>
  <c r="R16" i="241"/>
  <c r="R6" i="241"/>
  <c r="R18" i="241"/>
  <c r="R14" i="241"/>
  <c r="R13" i="241"/>
  <c r="R9" i="241"/>
  <c r="R20" i="241"/>
  <c r="R17" i="241"/>
  <c r="R15" i="241"/>
  <c r="R10" i="241"/>
  <c r="R5" i="241"/>
  <c r="AI31" i="241"/>
  <c r="AI32" i="241"/>
  <c r="AI21" i="241"/>
  <c r="AI3" i="241"/>
  <c r="R33" i="241"/>
  <c r="R28" i="241"/>
  <c r="R29" i="241"/>
  <c r="R30" i="241"/>
  <c r="R21" i="241"/>
  <c r="R27" i="241"/>
  <c r="R32" i="241"/>
  <c r="R35" i="241"/>
  <c r="R34" i="241"/>
  <c r="R36" i="241"/>
  <c r="L9" i="233" l="1"/>
  <c r="J9" i="233"/>
  <c r="D9" i="233"/>
  <c r="C9" i="233"/>
  <c r="D8" i="233" l="1"/>
  <c r="C8" i="233"/>
  <c r="M8" i="233" l="1"/>
  <c r="M9" i="233"/>
  <c r="M10" i="233"/>
  <c r="BF9" i="233"/>
  <c r="BG9" i="233"/>
  <c r="BH9" i="233"/>
  <c r="BF10" i="233"/>
  <c r="BG10" i="233"/>
  <c r="BH10" i="233"/>
  <c r="BF11" i="233"/>
  <c r="BG11" i="233"/>
  <c r="BH11" i="233"/>
  <c r="BF12" i="233"/>
  <c r="BG12" i="233"/>
  <c r="BH12" i="233"/>
  <c r="BF13" i="233"/>
  <c r="BG13" i="233"/>
  <c r="BH13" i="233"/>
  <c r="BF14" i="233"/>
  <c r="BG14" i="233"/>
  <c r="BH14" i="233"/>
  <c r="BF15" i="233"/>
  <c r="BG15" i="233"/>
  <c r="BH15" i="233"/>
  <c r="BF16" i="233"/>
  <c r="BG16" i="233"/>
  <c r="BH16" i="233"/>
  <c r="BF5" i="233"/>
  <c r="BG5" i="233"/>
  <c r="BH5" i="233"/>
  <c r="BF6" i="233"/>
  <c r="BG6" i="233"/>
  <c r="BH6" i="233"/>
  <c r="BF7" i="233"/>
  <c r="BG7" i="233"/>
  <c r="BH7" i="233"/>
  <c r="BG8" i="233"/>
  <c r="BH8" i="233"/>
  <c r="BF8" i="233"/>
  <c r="BE16" i="233"/>
  <c r="BE15" i="233"/>
  <c r="BE14" i="233"/>
  <c r="BE13" i="233"/>
  <c r="BE12" i="233"/>
  <c r="BE11" i="233"/>
  <c r="BE10" i="233"/>
  <c r="BE9" i="233"/>
  <c r="BE8" i="233"/>
  <c r="BE7" i="233"/>
  <c r="BE6" i="233"/>
  <c r="BE5" i="233"/>
  <c r="BA16" i="233"/>
  <c r="BA15" i="233"/>
  <c r="BA14" i="233"/>
  <c r="BA13" i="233"/>
  <c r="BA12" i="233"/>
  <c r="BA11" i="233"/>
  <c r="BA10" i="233"/>
  <c r="BA9" i="233"/>
  <c r="BA8" i="233"/>
  <c r="BA7" i="233"/>
  <c r="BA6" i="233"/>
  <c r="BA5" i="233"/>
  <c r="AW7" i="233"/>
  <c r="AW8" i="233"/>
  <c r="AW9" i="233"/>
  <c r="AW10" i="233"/>
  <c r="AW11" i="233"/>
  <c r="AW12" i="233"/>
  <c r="BI12" i="233" s="1"/>
  <c r="AW13" i="233"/>
  <c r="BI13" i="233" s="1"/>
  <c r="AW14" i="233"/>
  <c r="AW15" i="233"/>
  <c r="AW16" i="233"/>
  <c r="AW6" i="233"/>
  <c r="AW5" i="233"/>
  <c r="BI5" i="233" s="1"/>
  <c r="O9" i="233"/>
  <c r="P9" i="233"/>
  <c r="Q9" i="233"/>
  <c r="R9" i="233"/>
  <c r="S9" i="233"/>
  <c r="T9" i="233"/>
  <c r="U9" i="233"/>
  <c r="O10" i="233"/>
  <c r="P10" i="233"/>
  <c r="Q10" i="233"/>
  <c r="R10" i="233"/>
  <c r="S10" i="233"/>
  <c r="T10" i="233"/>
  <c r="U10" i="233"/>
  <c r="R5" i="233"/>
  <c r="S5" i="233"/>
  <c r="T5" i="233"/>
  <c r="U5" i="233"/>
  <c r="R6" i="233"/>
  <c r="S6" i="233"/>
  <c r="T6" i="233"/>
  <c r="U6" i="233"/>
  <c r="R7" i="233"/>
  <c r="S7" i="233"/>
  <c r="T7" i="233"/>
  <c r="U7" i="233"/>
  <c r="U8" i="233"/>
  <c r="T8" i="233"/>
  <c r="S8" i="233"/>
  <c r="R8" i="233"/>
  <c r="Q8" i="233"/>
  <c r="P8" i="233"/>
  <c r="O8" i="233"/>
  <c r="I9" i="233"/>
  <c r="I10" i="233"/>
  <c r="I8" i="233"/>
  <c r="BI6" i="233" l="1"/>
  <c r="BI7" i="233"/>
  <c r="BI16" i="233"/>
  <c r="BI15" i="233"/>
  <c r="BI14" i="233"/>
  <c r="BI11" i="233"/>
  <c r="BI10" i="233"/>
  <c r="V10" i="233"/>
  <c r="BI8" i="233"/>
  <c r="BI9" i="233"/>
  <c r="V9" i="233"/>
  <c r="V8" i="233"/>
  <c r="O14" i="239"/>
  <c r="M14" i="239"/>
  <c r="I14" i="239"/>
  <c r="O13" i="239"/>
  <c r="M13" i="239"/>
  <c r="I13" i="239"/>
  <c r="O12" i="239"/>
  <c r="M12" i="239"/>
  <c r="I12" i="239"/>
  <c r="O11" i="239"/>
  <c r="M11" i="239"/>
  <c r="I11" i="239"/>
  <c r="O10" i="239"/>
  <c r="M10" i="239"/>
  <c r="I10" i="239"/>
  <c r="O9" i="239"/>
  <c r="M9" i="239"/>
  <c r="I9" i="239"/>
  <c r="O8" i="239"/>
  <c r="M8" i="239"/>
  <c r="I8" i="239"/>
  <c r="O7" i="239"/>
  <c r="L7" i="239"/>
  <c r="K7" i="239"/>
  <c r="J7" i="239"/>
  <c r="D7" i="239"/>
  <c r="B7" i="239"/>
  <c r="O6" i="239"/>
  <c r="L6" i="239"/>
  <c r="K6" i="239"/>
  <c r="J6" i="239"/>
  <c r="D6" i="239"/>
  <c r="B6" i="239"/>
  <c r="O14" i="240"/>
  <c r="J14" i="240"/>
  <c r="F14" i="240"/>
  <c r="O13" i="240"/>
  <c r="J13" i="240"/>
  <c r="F13" i="240"/>
  <c r="O12" i="240"/>
  <c r="J12" i="240"/>
  <c r="F12" i="240"/>
  <c r="O11" i="240"/>
  <c r="J11" i="240"/>
  <c r="F11" i="240"/>
  <c r="P11" i="240" s="1"/>
  <c r="O10" i="240"/>
  <c r="J10" i="240"/>
  <c r="F10" i="240"/>
  <c r="O9" i="240"/>
  <c r="J9" i="240"/>
  <c r="F9" i="240"/>
  <c r="O8" i="240"/>
  <c r="J8" i="240"/>
  <c r="F8" i="240"/>
  <c r="O7" i="240"/>
  <c r="J7" i="240"/>
  <c r="F7" i="240"/>
  <c r="P7" i="240" s="1"/>
  <c r="O6" i="240"/>
  <c r="J6" i="240"/>
  <c r="F6" i="240"/>
  <c r="O15" i="240"/>
  <c r="J15" i="240"/>
  <c r="F15" i="240"/>
  <c r="O15" i="239"/>
  <c r="M15" i="239"/>
  <c r="I15" i="239"/>
  <c r="R25" i="238"/>
  <c r="Q25" i="238"/>
  <c r="P25" i="238"/>
  <c r="O25" i="238"/>
  <c r="N25" i="238"/>
  <c r="M25" i="238"/>
  <c r="L25" i="238"/>
  <c r="K25" i="238"/>
  <c r="J25" i="238"/>
  <c r="I25" i="238"/>
  <c r="H25" i="238"/>
  <c r="G25" i="238"/>
  <c r="F25" i="238"/>
  <c r="E25" i="238"/>
  <c r="D25" i="238"/>
  <c r="B25" i="238"/>
  <c r="C24" i="238"/>
  <c r="S24" i="238" s="1"/>
  <c r="C23" i="238"/>
  <c r="S23" i="238" s="1"/>
  <c r="C22" i="238"/>
  <c r="C21" i="238"/>
  <c r="S21" i="238" s="1"/>
  <c r="R16" i="238"/>
  <c r="Q16" i="238"/>
  <c r="P16" i="238"/>
  <c r="O16" i="238"/>
  <c r="N16" i="238"/>
  <c r="M16" i="238"/>
  <c r="L16" i="238"/>
  <c r="K16" i="238"/>
  <c r="J16" i="238"/>
  <c r="I16" i="238"/>
  <c r="H16" i="238"/>
  <c r="G16" i="238"/>
  <c r="F16" i="238"/>
  <c r="E16" i="238"/>
  <c r="D16" i="238"/>
  <c r="B16" i="238"/>
  <c r="C15" i="238"/>
  <c r="S15" i="238" s="1"/>
  <c r="C14" i="238"/>
  <c r="S14" i="238" s="1"/>
  <c r="C13" i="238"/>
  <c r="R8" i="238"/>
  <c r="Q8" i="238"/>
  <c r="P8" i="238"/>
  <c r="O8" i="238"/>
  <c r="N8" i="238"/>
  <c r="M8" i="238"/>
  <c r="L8" i="238"/>
  <c r="K8" i="238"/>
  <c r="K29" i="238" s="1"/>
  <c r="J8" i="238"/>
  <c r="J29" i="238" s="1"/>
  <c r="I8" i="238"/>
  <c r="H8" i="238"/>
  <c r="G8" i="238"/>
  <c r="F8" i="238"/>
  <c r="E8" i="238"/>
  <c r="D8" i="238"/>
  <c r="B8" i="238"/>
  <c r="C7" i="238"/>
  <c r="S7" i="238" s="1"/>
  <c r="C6" i="238"/>
  <c r="S6" i="238" s="1"/>
  <c r="C5" i="238"/>
  <c r="S5" i="238" s="1"/>
  <c r="C4" i="238"/>
  <c r="K43" i="237"/>
  <c r="J43" i="237"/>
  <c r="H43" i="237"/>
  <c r="G43" i="237"/>
  <c r="F43" i="237"/>
  <c r="E43" i="237"/>
  <c r="D43" i="237"/>
  <c r="K42" i="237"/>
  <c r="J42" i="237"/>
  <c r="H42" i="237"/>
  <c r="G42" i="237"/>
  <c r="F42" i="237"/>
  <c r="E42" i="237"/>
  <c r="D42" i="237"/>
  <c r="K41" i="237"/>
  <c r="J41" i="237"/>
  <c r="H41" i="237"/>
  <c r="G41" i="237"/>
  <c r="F41" i="237"/>
  <c r="E41" i="237"/>
  <c r="D41" i="237"/>
  <c r="K40" i="237"/>
  <c r="J40" i="237"/>
  <c r="H40" i="237"/>
  <c r="G40" i="237"/>
  <c r="F40" i="237"/>
  <c r="E40" i="237"/>
  <c r="D40" i="237"/>
  <c r="K38" i="237"/>
  <c r="J38" i="237"/>
  <c r="H38" i="237"/>
  <c r="G38" i="237"/>
  <c r="F38" i="237"/>
  <c r="E38" i="237"/>
  <c r="D38" i="237"/>
  <c r="K37" i="237"/>
  <c r="J37" i="237"/>
  <c r="H37" i="237"/>
  <c r="G37" i="237"/>
  <c r="F37" i="237"/>
  <c r="E37" i="237"/>
  <c r="D37" i="237"/>
  <c r="K36" i="237"/>
  <c r="J36" i="237"/>
  <c r="H36" i="237"/>
  <c r="G36" i="237"/>
  <c r="F36" i="237"/>
  <c r="E36" i="237"/>
  <c r="D36" i="237"/>
  <c r="K34" i="237"/>
  <c r="J34" i="237"/>
  <c r="H34" i="237"/>
  <c r="G34" i="237"/>
  <c r="F34" i="237"/>
  <c r="E34" i="237"/>
  <c r="D34" i="237"/>
  <c r="K33" i="237"/>
  <c r="J33" i="237"/>
  <c r="H33" i="237"/>
  <c r="G33" i="237"/>
  <c r="F33" i="237"/>
  <c r="E33" i="237"/>
  <c r="D33" i="237"/>
  <c r="K32" i="237"/>
  <c r="J32" i="237"/>
  <c r="H32" i="237"/>
  <c r="G32" i="237"/>
  <c r="F32" i="237"/>
  <c r="E32" i="237"/>
  <c r="D32" i="237"/>
  <c r="K31" i="237"/>
  <c r="J31" i="237"/>
  <c r="H31" i="237"/>
  <c r="G31" i="237"/>
  <c r="F31" i="237"/>
  <c r="E31" i="237"/>
  <c r="D31" i="237"/>
  <c r="I20" i="237"/>
  <c r="L20" i="237" s="1"/>
  <c r="I19" i="237"/>
  <c r="L19" i="237" s="1"/>
  <c r="I18" i="237"/>
  <c r="L18" i="237" s="1"/>
  <c r="I17" i="237"/>
  <c r="I15" i="237"/>
  <c r="L15" i="237" s="1"/>
  <c r="I14" i="237"/>
  <c r="L14" i="237" s="1"/>
  <c r="I13" i="237"/>
  <c r="L13" i="237" s="1"/>
  <c r="I12" i="237"/>
  <c r="I10" i="237"/>
  <c r="L10" i="237" s="1"/>
  <c r="I9" i="237"/>
  <c r="L9" i="237" s="1"/>
  <c r="I8" i="237"/>
  <c r="I6" i="237"/>
  <c r="L6" i="237" s="1"/>
  <c r="I5" i="237"/>
  <c r="L5" i="237" s="1"/>
  <c r="I4" i="237"/>
  <c r="L4" i="237" s="1"/>
  <c r="I3" i="237"/>
  <c r="M33" i="236"/>
  <c r="I28" i="236"/>
  <c r="H28" i="236"/>
  <c r="G28" i="236"/>
  <c r="F28" i="236"/>
  <c r="E28" i="236"/>
  <c r="D28" i="236"/>
  <c r="J28" i="236"/>
  <c r="I17" i="236"/>
  <c r="H17" i="236"/>
  <c r="G17" i="236"/>
  <c r="F17" i="236"/>
  <c r="E17" i="236"/>
  <c r="D17" i="236"/>
  <c r="K11" i="236"/>
  <c r="B17" i="236"/>
  <c r="P6" i="240" l="1"/>
  <c r="Q6" i="240" s="1"/>
  <c r="P14" i="240"/>
  <c r="P8" i="240"/>
  <c r="P12" i="240"/>
  <c r="P11" i="239"/>
  <c r="P10" i="239"/>
  <c r="P14" i="239"/>
  <c r="I7" i="239"/>
  <c r="M6" i="239"/>
  <c r="P9" i="239"/>
  <c r="P13" i="239"/>
  <c r="D34" i="236"/>
  <c r="F34" i="236"/>
  <c r="L34" i="236"/>
  <c r="E34" i="236"/>
  <c r="H34" i="236"/>
  <c r="C34" i="236"/>
  <c r="B34" i="236"/>
  <c r="I34" i="236"/>
  <c r="J34" i="236"/>
  <c r="K34" i="236"/>
  <c r="F12" i="236"/>
  <c r="I12" i="236"/>
  <c r="E12" i="236"/>
  <c r="G12" i="236"/>
  <c r="B12" i="236"/>
  <c r="C12" i="236"/>
  <c r="D12" i="236"/>
  <c r="J12" i="236"/>
  <c r="E35" i="237"/>
  <c r="D44" i="237"/>
  <c r="I38" i="237"/>
  <c r="L38" i="237" s="1"/>
  <c r="L3" i="237"/>
  <c r="I7" i="237"/>
  <c r="L7" i="237" s="1"/>
  <c r="L12" i="237"/>
  <c r="I16" i="237"/>
  <c r="L16" i="237" s="1"/>
  <c r="H39" i="237"/>
  <c r="G39" i="237"/>
  <c r="L8" i="237"/>
  <c r="I11" i="237"/>
  <c r="L11" i="237" s="1"/>
  <c r="L17" i="237"/>
  <c r="I21" i="237"/>
  <c r="L21" i="237" s="1"/>
  <c r="I32" i="237"/>
  <c r="L32" i="237" s="1"/>
  <c r="J35" i="237"/>
  <c r="J44" i="237"/>
  <c r="K44" i="237"/>
  <c r="K35" i="237"/>
  <c r="J39" i="237"/>
  <c r="E39" i="237"/>
  <c r="H44" i="237"/>
  <c r="I34" i="237"/>
  <c r="L34" i="237" s="1"/>
  <c r="F39" i="237"/>
  <c r="C25" i="238"/>
  <c r="I27" i="238" s="1"/>
  <c r="R29" i="238"/>
  <c r="I29" i="238"/>
  <c r="G29" i="238"/>
  <c r="F29" i="238"/>
  <c r="J17" i="236"/>
  <c r="E29" i="238"/>
  <c r="Q29" i="238"/>
  <c r="F35" i="237"/>
  <c r="I33" i="237"/>
  <c r="L33" i="237" s="1"/>
  <c r="E44" i="237"/>
  <c r="S22" i="238"/>
  <c r="S25" i="238" s="1"/>
  <c r="B26" i="238" s="1"/>
  <c r="G35" i="237"/>
  <c r="F44" i="237"/>
  <c r="I42" i="237"/>
  <c r="L42" i="237" s="1"/>
  <c r="H35" i="237"/>
  <c r="D39" i="237"/>
  <c r="G44" i="237"/>
  <c r="C8" i="238"/>
  <c r="I10" i="238" s="1"/>
  <c r="H29" i="238"/>
  <c r="C16" i="238"/>
  <c r="P9" i="240"/>
  <c r="P13" i="240"/>
  <c r="I6" i="239"/>
  <c r="P8" i="239"/>
  <c r="P12" i="239"/>
  <c r="I41" i="237"/>
  <c r="L41" i="237" s="1"/>
  <c r="L29" i="238"/>
  <c r="M29" i="238"/>
  <c r="K22" i="236"/>
  <c r="K39" i="237"/>
  <c r="I43" i="237"/>
  <c r="L43" i="237" s="1"/>
  <c r="N29" i="238"/>
  <c r="K15" i="236"/>
  <c r="I37" i="237"/>
  <c r="L37" i="237" s="1"/>
  <c r="B29" i="238"/>
  <c r="O29" i="238"/>
  <c r="C28" i="236"/>
  <c r="D29" i="238"/>
  <c r="P29" i="238"/>
  <c r="M7" i="239"/>
  <c r="P15" i="239"/>
  <c r="P15" i="240"/>
  <c r="S4" i="238"/>
  <c r="S8" i="238" s="1"/>
  <c r="S9" i="238" s="1"/>
  <c r="S13" i="238"/>
  <c r="S16" i="238" s="1"/>
  <c r="L17" i="238" s="1"/>
  <c r="I31" i="237"/>
  <c r="L31" i="237" s="1"/>
  <c r="D35" i="237"/>
  <c r="I36" i="237"/>
  <c r="I40" i="237"/>
  <c r="L40" i="237" s="1"/>
  <c r="K5" i="236"/>
  <c r="K9" i="236"/>
  <c r="K13" i="236"/>
  <c r="C17" i="236"/>
  <c r="K26" i="236"/>
  <c r="P7" i="239" l="1"/>
  <c r="P6" i="239"/>
  <c r="Q6" i="239" s="1"/>
  <c r="I16" i="236"/>
  <c r="C16" i="236"/>
  <c r="D16" i="236"/>
  <c r="F16" i="236"/>
  <c r="B16" i="236"/>
  <c r="G16" i="236"/>
  <c r="H16" i="236"/>
  <c r="E16" i="236"/>
  <c r="D27" i="236"/>
  <c r="G27" i="236"/>
  <c r="F27" i="236"/>
  <c r="C27" i="236"/>
  <c r="H27" i="236"/>
  <c r="I27" i="236"/>
  <c r="B27" i="236"/>
  <c r="J27" i="236"/>
  <c r="D14" i="236"/>
  <c r="E14" i="236"/>
  <c r="G14" i="236"/>
  <c r="H14" i="236"/>
  <c r="F14" i="236"/>
  <c r="I14" i="236"/>
  <c r="C14" i="236"/>
  <c r="B14" i="236"/>
  <c r="G23" i="236"/>
  <c r="I23" i="236"/>
  <c r="F23" i="236"/>
  <c r="H23" i="236"/>
  <c r="E23" i="236"/>
  <c r="D23" i="236"/>
  <c r="J23" i="236"/>
  <c r="C10" i="236"/>
  <c r="F10" i="236"/>
  <c r="H10" i="236"/>
  <c r="D10" i="236"/>
  <c r="G10" i="236"/>
  <c r="I10" i="236"/>
  <c r="B10" i="236"/>
  <c r="F6" i="236"/>
  <c r="H6" i="236"/>
  <c r="D6" i="236"/>
  <c r="E6" i="236"/>
  <c r="G6" i="236"/>
  <c r="I6" i="236"/>
  <c r="J6" i="236"/>
  <c r="K28" i="236"/>
  <c r="C29" i="236"/>
  <c r="J17" i="238"/>
  <c r="E17" i="238"/>
  <c r="O17" i="238"/>
  <c r="P17" i="238"/>
  <c r="N17" i="238"/>
  <c r="H17" i="238"/>
  <c r="Q17" i="238"/>
  <c r="I17" i="238"/>
  <c r="G17" i="238"/>
  <c r="I18" i="238"/>
  <c r="L18" i="238" s="1"/>
  <c r="C17" i="238"/>
  <c r="K17" i="238"/>
  <c r="F17" i="238"/>
  <c r="D17" i="238"/>
  <c r="M17" i="238"/>
  <c r="J45" i="237"/>
  <c r="H45" i="237"/>
  <c r="E45" i="237"/>
  <c r="K45" i="237"/>
  <c r="I44" i="237"/>
  <c r="L44" i="237" s="1"/>
  <c r="M26" i="238"/>
  <c r="C29" i="238"/>
  <c r="I31" i="238" s="1"/>
  <c r="F9" i="238"/>
  <c r="J9" i="238"/>
  <c r="Q9" i="238"/>
  <c r="N9" i="238"/>
  <c r="Q7" i="239"/>
  <c r="Q8" i="239" s="1"/>
  <c r="Q9" i="239" s="1"/>
  <c r="Q10" i="239" s="1"/>
  <c r="Q11" i="239" s="1"/>
  <c r="Q12" i="239" s="1"/>
  <c r="Q13" i="239" s="1"/>
  <c r="Q14" i="239" s="1"/>
  <c r="Q15" i="239" s="1"/>
  <c r="L9" i="238"/>
  <c r="O26" i="238"/>
  <c r="J26" i="238"/>
  <c r="O9" i="238"/>
  <c r="H9" i="238"/>
  <c r="K26" i="238"/>
  <c r="G9" i="238"/>
  <c r="D9" i="238"/>
  <c r="E26" i="238"/>
  <c r="P26" i="238"/>
  <c r="G45" i="237"/>
  <c r="L26" i="238"/>
  <c r="E9" i="238"/>
  <c r="C26" i="238"/>
  <c r="D26" i="238"/>
  <c r="H26" i="238"/>
  <c r="M9" i="238"/>
  <c r="I26" i="238"/>
  <c r="L27" i="238"/>
  <c r="K9" i="238"/>
  <c r="G26" i="238"/>
  <c r="I9" i="238"/>
  <c r="S26" i="238"/>
  <c r="F26" i="238"/>
  <c r="N26" i="238"/>
  <c r="C9" i="238"/>
  <c r="R9" i="238"/>
  <c r="P9" i="238"/>
  <c r="F45" i="237"/>
  <c r="Q7" i="240"/>
  <c r="Q8" i="240" s="1"/>
  <c r="Q9" i="240" s="1"/>
  <c r="Q10" i="240" s="1"/>
  <c r="Q11" i="240" s="1"/>
  <c r="Q12" i="240" s="1"/>
  <c r="Q13" i="240" s="1"/>
  <c r="Q14" i="240" s="1"/>
  <c r="B17" i="238"/>
  <c r="S29" i="238"/>
  <c r="K30" i="238" s="1"/>
  <c r="R17" i="238"/>
  <c r="S17" i="238"/>
  <c r="I39" i="237"/>
  <c r="L36" i="237"/>
  <c r="L39" i="237" s="1"/>
  <c r="I35" i="237"/>
  <c r="D45" i="237"/>
  <c r="K17" i="236"/>
  <c r="L7" i="233"/>
  <c r="J7" i="233"/>
  <c r="M7" i="233" s="1"/>
  <c r="D7" i="233"/>
  <c r="Q7" i="233" s="1"/>
  <c r="C7" i="233"/>
  <c r="B29" i="236" l="1"/>
  <c r="J29" i="236"/>
  <c r="G29" i="236"/>
  <c r="D29" i="236"/>
  <c r="E29" i="236"/>
  <c r="F29" i="236"/>
  <c r="H29" i="236"/>
  <c r="E30" i="238"/>
  <c r="I30" i="238"/>
  <c r="D30" i="238"/>
  <c r="O30" i="238"/>
  <c r="M30" i="238"/>
  <c r="G30" i="238"/>
  <c r="F30" i="238"/>
  <c r="N30" i="238"/>
  <c r="Q30" i="238"/>
  <c r="H30" i="238"/>
  <c r="L30" i="238"/>
  <c r="G18" i="236"/>
  <c r="C18" i="236"/>
  <c r="D18" i="236"/>
  <c r="E18" i="236"/>
  <c r="I18" i="236"/>
  <c r="H18" i="236"/>
  <c r="J18" i="236"/>
  <c r="B18" i="236"/>
  <c r="L31" i="238"/>
  <c r="I7" i="233"/>
  <c r="P7" i="233"/>
  <c r="O7" i="233"/>
  <c r="S30" i="238"/>
  <c r="B30" i="238"/>
  <c r="R30" i="238"/>
  <c r="C30" i="238"/>
  <c r="I45" i="237"/>
  <c r="L35" i="237"/>
  <c r="L45" i="237" s="1"/>
  <c r="D46" i="237" s="1"/>
  <c r="L6" i="233"/>
  <c r="J6" i="233"/>
  <c r="D6" i="233"/>
  <c r="Q6" i="233" s="1"/>
  <c r="C6" i="233"/>
  <c r="M6" i="233" l="1"/>
  <c r="V7" i="233"/>
  <c r="I6" i="233"/>
  <c r="O6" i="233"/>
  <c r="P6" i="233"/>
  <c r="Q15" i="240"/>
  <c r="H46" i="237"/>
  <c r="E46" i="237"/>
  <c r="J46" i="237"/>
  <c r="K46" i="237"/>
  <c r="G46" i="237"/>
  <c r="I46" i="237"/>
  <c r="H28" i="234"/>
  <c r="H47" i="234"/>
  <c r="H48" i="234"/>
  <c r="H49" i="234"/>
  <c r="U59" i="234"/>
  <c r="U61" i="234" s="1"/>
  <c r="T59" i="234"/>
  <c r="T61" i="234" s="1"/>
  <c r="R59" i="234"/>
  <c r="R61" i="234" s="1"/>
  <c r="Q59" i="234"/>
  <c r="Q61" i="234" s="1"/>
  <c r="P59" i="234"/>
  <c r="P61" i="234" s="1"/>
  <c r="O59" i="234"/>
  <c r="O61" i="234" s="1"/>
  <c r="N59" i="234"/>
  <c r="N61" i="234" s="1"/>
  <c r="M59" i="234"/>
  <c r="M61" i="234" s="1"/>
  <c r="L59" i="234"/>
  <c r="L61" i="234" s="1"/>
  <c r="K59" i="234"/>
  <c r="K61" i="234" s="1"/>
  <c r="J59" i="234"/>
  <c r="J61" i="234" s="1"/>
  <c r="I59" i="234"/>
  <c r="I61" i="234" s="1"/>
  <c r="B59" i="234"/>
  <c r="B61" i="234" s="1"/>
  <c r="S58" i="234"/>
  <c r="H58" i="234"/>
  <c r="S57" i="234"/>
  <c r="H57" i="234"/>
  <c r="S56" i="234"/>
  <c r="H56" i="234"/>
  <c r="S55" i="234"/>
  <c r="H55" i="234"/>
  <c r="S54" i="234"/>
  <c r="H54" i="234"/>
  <c r="S53" i="234"/>
  <c r="H53" i="234"/>
  <c r="S52" i="234"/>
  <c r="H52" i="234"/>
  <c r="S51" i="234"/>
  <c r="H51" i="234"/>
  <c r="S50" i="234"/>
  <c r="H50" i="234"/>
  <c r="S49" i="234"/>
  <c r="S48" i="234"/>
  <c r="S47" i="234"/>
  <c r="U39" i="234"/>
  <c r="U41" i="234" s="1"/>
  <c r="T39" i="234"/>
  <c r="T41" i="234" s="1"/>
  <c r="R39" i="234"/>
  <c r="R41" i="234" s="1"/>
  <c r="Q39" i="234"/>
  <c r="P39" i="234"/>
  <c r="P41" i="234" s="1"/>
  <c r="O39" i="234"/>
  <c r="O41" i="234" s="1"/>
  <c r="N39" i="234"/>
  <c r="N41" i="234" s="1"/>
  <c r="M39" i="234"/>
  <c r="M41" i="234" s="1"/>
  <c r="L39" i="234"/>
  <c r="L41" i="234" s="1"/>
  <c r="K39" i="234"/>
  <c r="K41" i="234" s="1"/>
  <c r="J39" i="234"/>
  <c r="J41" i="234" s="1"/>
  <c r="I39" i="234"/>
  <c r="I41" i="234" s="1"/>
  <c r="D39" i="234"/>
  <c r="D41" i="234" s="1"/>
  <c r="B39" i="234"/>
  <c r="B41" i="234" s="1"/>
  <c r="S38" i="234"/>
  <c r="H38" i="234"/>
  <c r="S37" i="234"/>
  <c r="H37" i="234"/>
  <c r="S36" i="234"/>
  <c r="H36" i="234"/>
  <c r="S35" i="234"/>
  <c r="H35" i="234"/>
  <c r="S34" i="234"/>
  <c r="S33" i="234"/>
  <c r="H33" i="234"/>
  <c r="S32" i="234"/>
  <c r="H32" i="234"/>
  <c r="S31" i="234"/>
  <c r="H31" i="234"/>
  <c r="S30" i="234"/>
  <c r="H30" i="234"/>
  <c r="S29" i="234"/>
  <c r="H29" i="234"/>
  <c r="S28" i="234"/>
  <c r="S27" i="234"/>
  <c r="H27" i="234"/>
  <c r="U19" i="234"/>
  <c r="U21" i="234" s="1"/>
  <c r="T19" i="234"/>
  <c r="T21" i="234" s="1"/>
  <c r="R19" i="234"/>
  <c r="R21" i="234" s="1"/>
  <c r="Q19" i="234"/>
  <c r="Q21" i="234" s="1"/>
  <c r="P19" i="234"/>
  <c r="P21" i="234" s="1"/>
  <c r="O19" i="234"/>
  <c r="O21" i="234" s="1"/>
  <c r="N19" i="234"/>
  <c r="N21" i="234" s="1"/>
  <c r="M19" i="234"/>
  <c r="M21" i="234" s="1"/>
  <c r="L19" i="234"/>
  <c r="L21" i="234" s="1"/>
  <c r="K19" i="234"/>
  <c r="K21" i="234" s="1"/>
  <c r="J19" i="234"/>
  <c r="J21" i="234" s="1"/>
  <c r="I19" i="234"/>
  <c r="I21" i="234" s="1"/>
  <c r="G19" i="234"/>
  <c r="G21" i="234" s="1"/>
  <c r="F19" i="234"/>
  <c r="D19" i="234"/>
  <c r="D21" i="234" s="1"/>
  <c r="C19" i="234"/>
  <c r="C21" i="234" s="1"/>
  <c r="B19" i="234"/>
  <c r="B21" i="234" s="1"/>
  <c r="S18" i="234"/>
  <c r="S17" i="234"/>
  <c r="H17" i="234"/>
  <c r="S16" i="234"/>
  <c r="H16" i="234"/>
  <c r="S15" i="234"/>
  <c r="H15" i="234"/>
  <c r="S14" i="234"/>
  <c r="H14" i="234"/>
  <c r="S13" i="234"/>
  <c r="H13" i="234"/>
  <c r="S12" i="234"/>
  <c r="H12" i="234"/>
  <c r="S11" i="234"/>
  <c r="H11" i="234"/>
  <c r="S10" i="234"/>
  <c r="H10" i="234"/>
  <c r="S9" i="234"/>
  <c r="H9" i="234"/>
  <c r="S8" i="234"/>
  <c r="H8" i="234"/>
  <c r="S7" i="234"/>
  <c r="H7" i="234"/>
  <c r="V6" i="233" l="1"/>
  <c r="H19" i="234"/>
  <c r="H21" i="234" s="1"/>
  <c r="H59" i="234"/>
  <c r="H61" i="234" s="1"/>
  <c r="S19" i="234"/>
  <c r="S21" i="234" s="1"/>
  <c r="L46" i="237"/>
  <c r="S59" i="234"/>
  <c r="S61" i="234" s="1"/>
  <c r="S39" i="234"/>
  <c r="S41" i="234" s="1"/>
  <c r="H39" i="234"/>
  <c r="H41" i="234" s="1"/>
  <c r="L5" i="233"/>
  <c r="J5" i="233"/>
  <c r="C5" i="233"/>
  <c r="D5" i="233"/>
  <c r="D17" i="233" s="1"/>
  <c r="BD17" i="233"/>
  <c r="BC17" i="233"/>
  <c r="BB17" i="233"/>
  <c r="AZ17" i="233"/>
  <c r="AY17" i="233"/>
  <c r="AX17" i="233"/>
  <c r="AV17" i="233"/>
  <c r="AU17" i="233"/>
  <c r="AT17" i="233"/>
  <c r="AK17" i="233"/>
  <c r="AJ17" i="233"/>
  <c r="AI17" i="233"/>
  <c r="AH17" i="233"/>
  <c r="AF17" i="233"/>
  <c r="AE17" i="233"/>
  <c r="AD17" i="233"/>
  <c r="AB17" i="233"/>
  <c r="AA17" i="233"/>
  <c r="Z17" i="233"/>
  <c r="Y17" i="233"/>
  <c r="H17" i="233"/>
  <c r="G17" i="233"/>
  <c r="F17" i="233"/>
  <c r="E17" i="233"/>
  <c r="BH17" i="233"/>
  <c r="BF17" i="233"/>
  <c r="BA17" i="233"/>
  <c r="AP17" i="233"/>
  <c r="AO17" i="233"/>
  <c r="AM17" i="233"/>
  <c r="S17" i="233"/>
  <c r="AY18" i="233" l="1"/>
  <c r="L17" i="233"/>
  <c r="L23" i="233" s="1"/>
  <c r="Q5" i="233"/>
  <c r="I5" i="233"/>
  <c r="P5" i="233"/>
  <c r="O5" i="233"/>
  <c r="C17" i="233"/>
  <c r="J17" i="233"/>
  <c r="J23" i="233" s="1"/>
  <c r="M5" i="233"/>
  <c r="M17" i="233" s="1"/>
  <c r="U17" i="233"/>
  <c r="T17" i="233"/>
  <c r="R17" i="233"/>
  <c r="BE17" i="233"/>
  <c r="BE23" i="233" s="1"/>
  <c r="AL17" i="233"/>
  <c r="AJ18" i="233" s="1"/>
  <c r="AW17" i="233"/>
  <c r="AW18" i="233" s="1"/>
  <c r="AG17" i="233"/>
  <c r="AG23" i="233" s="1"/>
  <c r="AC17" i="233"/>
  <c r="AC23" i="233" s="1"/>
  <c r="AN17" i="233"/>
  <c r="AN21" i="233" s="1"/>
  <c r="BG17" i="233"/>
  <c r="BG23" i="233" s="1"/>
  <c r="D23" i="233"/>
  <c r="AM23" i="233"/>
  <c r="AO23" i="233"/>
  <c r="AO21" i="233"/>
  <c r="BA23" i="233"/>
  <c r="BA21" i="233"/>
  <c r="BA18" i="233"/>
  <c r="BF23" i="233"/>
  <c r="BF21" i="233"/>
  <c r="BH23" i="233"/>
  <c r="BH21" i="233"/>
  <c r="AP23" i="233"/>
  <c r="AP21" i="233"/>
  <c r="BI17" i="233"/>
  <c r="Z23" i="233"/>
  <c r="Z21" i="233"/>
  <c r="AB23" i="233"/>
  <c r="AB21" i="233"/>
  <c r="AD23" i="233"/>
  <c r="AD21" i="233"/>
  <c r="AF23" i="233"/>
  <c r="AF21" i="233"/>
  <c r="AH23" i="233"/>
  <c r="AH21" i="233"/>
  <c r="AJ23" i="233"/>
  <c r="AJ21" i="233"/>
  <c r="AT23" i="233"/>
  <c r="AT21" i="233"/>
  <c r="AV23" i="233"/>
  <c r="AV21" i="233"/>
  <c r="AX18" i="233"/>
  <c r="AX23" i="233"/>
  <c r="AX21" i="233"/>
  <c r="AZ18" i="233"/>
  <c r="AZ23" i="233"/>
  <c r="AZ21" i="233"/>
  <c r="BB23" i="233"/>
  <c r="BB21" i="233"/>
  <c r="BD23" i="233"/>
  <c r="BD21" i="233"/>
  <c r="Y23" i="233"/>
  <c r="Y21" i="233"/>
  <c r="AA23" i="233"/>
  <c r="AA21" i="233"/>
  <c r="AE23" i="233"/>
  <c r="AE21" i="233"/>
  <c r="AI23" i="233"/>
  <c r="AI21" i="233"/>
  <c r="AK23" i="233"/>
  <c r="AK21" i="233"/>
  <c r="AU23" i="233"/>
  <c r="AU21" i="233"/>
  <c r="AY23" i="233"/>
  <c r="AY21" i="233"/>
  <c r="BC23" i="233"/>
  <c r="BC21" i="233"/>
  <c r="AM21" i="233"/>
  <c r="BE18" i="233" l="1"/>
  <c r="V5" i="233"/>
  <c r="C23" i="233"/>
  <c r="C21" i="233"/>
  <c r="Z18" i="233"/>
  <c r="BC18" i="233"/>
  <c r="BG21" i="233"/>
  <c r="BG18" i="233"/>
  <c r="AA18" i="233"/>
  <c r="R23" i="233"/>
  <c r="AK18" i="233"/>
  <c r="T23" i="233"/>
  <c r="AW23" i="233"/>
  <c r="BD18" i="233"/>
  <c r="P17" i="233"/>
  <c r="P23" i="233" s="1"/>
  <c r="Q17" i="233"/>
  <c r="Q23" i="233" s="1"/>
  <c r="AU18" i="233"/>
  <c r="BB18" i="233"/>
  <c r="AL18" i="233"/>
  <c r="AD18" i="233"/>
  <c r="AT18" i="233"/>
  <c r="AE18" i="233"/>
  <c r="AF18" i="233"/>
  <c r="Y18" i="233"/>
  <c r="AB18" i="233"/>
  <c r="AC21" i="233"/>
  <c r="AC18" i="233"/>
  <c r="AL23" i="233"/>
  <c r="BI23" i="233"/>
  <c r="S23" i="233"/>
  <c r="U23" i="233"/>
  <c r="BE21" i="233"/>
  <c r="AG21" i="233"/>
  <c r="AN23" i="233"/>
  <c r="AL21" i="233"/>
  <c r="AI18" i="233"/>
  <c r="AH18" i="233"/>
  <c r="AG18" i="233"/>
  <c r="AQ17" i="233"/>
  <c r="AP18" i="233" s="1"/>
  <c r="BI21" i="233"/>
  <c r="BI18" i="233"/>
  <c r="BH18" i="233"/>
  <c r="O17" i="233"/>
  <c r="I17" i="233"/>
  <c r="H18" i="233" s="1"/>
  <c r="BF18" i="233"/>
  <c r="G21" i="233"/>
  <c r="H21" i="233"/>
  <c r="F21" i="233"/>
  <c r="E21" i="233" l="1"/>
  <c r="C18" i="233"/>
  <c r="V17" i="233"/>
  <c r="AQ23" i="233"/>
  <c r="AW21" i="233"/>
  <c r="AQ18" i="233"/>
  <c r="AM18" i="233"/>
  <c r="AQ21" i="233"/>
  <c r="AO18" i="233"/>
  <c r="AN18" i="233"/>
  <c r="I18" i="233"/>
  <c r="D18" i="233"/>
  <c r="F18" i="233"/>
  <c r="G18" i="233"/>
  <c r="O23" i="233"/>
  <c r="M18" i="233"/>
  <c r="J18" i="233"/>
  <c r="L18" i="233"/>
  <c r="P18" i="233" l="1"/>
  <c r="N19" i="233"/>
  <c r="AH19" i="233" s="1"/>
  <c r="BB19" i="233" s="1"/>
  <c r="J19" i="233"/>
  <c r="AD19" i="233" s="1"/>
  <c r="AX19" i="233" s="1"/>
  <c r="O18" i="233"/>
  <c r="R18" i="233"/>
  <c r="Q18" i="233"/>
  <c r="T18" i="233"/>
  <c r="U18" i="233"/>
  <c r="S18" i="233"/>
  <c r="V18" i="233"/>
  <c r="V23" i="233"/>
  <c r="Y19" i="233"/>
  <c r="AT19" i="233" s="1"/>
  <c r="T21" i="233"/>
  <c r="R21" i="233"/>
  <c r="S21" i="233"/>
  <c r="U21" i="233"/>
  <c r="L21" i="233"/>
  <c r="D21" i="233"/>
  <c r="M23" i="233" l="1"/>
  <c r="J21" i="233"/>
  <c r="G23" i="233"/>
  <c r="H23" i="233"/>
  <c r="F23" i="233"/>
  <c r="AM19" i="233"/>
  <c r="O19" i="233"/>
  <c r="BF19" i="233" s="1"/>
  <c r="M21" i="233" l="1"/>
  <c r="E23" i="233"/>
  <c r="I23" i="233"/>
  <c r="P21" i="233"/>
  <c r="Q21" i="233"/>
  <c r="I21" i="233" l="1"/>
  <c r="V21" i="233"/>
  <c r="O21" i="233"/>
</calcChain>
</file>

<file path=xl/sharedStrings.xml><?xml version="1.0" encoding="utf-8"?>
<sst xmlns="http://schemas.openxmlformats.org/spreadsheetml/2006/main" count="910" uniqueCount="332">
  <si>
    <t>診療時間帯別患者数（総括表）</t>
    <rPh sb="0" eb="2">
      <t>シンリョウ</t>
    </rPh>
    <rPh sb="2" eb="4">
      <t>ジカン</t>
    </rPh>
    <rPh sb="4" eb="5">
      <t>タイ</t>
    </rPh>
    <rPh sb="5" eb="6">
      <t>ベツ</t>
    </rPh>
    <rPh sb="6" eb="9">
      <t>カンジャスウ</t>
    </rPh>
    <rPh sb="10" eb="12">
      <t>ソウカツ</t>
    </rPh>
    <rPh sb="12" eb="13">
      <t>ヒョウ</t>
    </rPh>
    <phoneticPr fontId="11"/>
  </si>
  <si>
    <t>（単位:人）</t>
    <rPh sb="1" eb="3">
      <t>タンイ</t>
    </rPh>
    <rPh sb="4" eb="5">
      <t>ニン</t>
    </rPh>
    <phoneticPr fontId="11"/>
  </si>
  <si>
    <t>耳鼻
咽喉科</t>
    <rPh sb="0" eb="2">
      <t>ジビ</t>
    </rPh>
    <rPh sb="3" eb="5">
      <t>インコウ</t>
    </rPh>
    <rPh sb="5" eb="6">
      <t>カ</t>
    </rPh>
    <phoneticPr fontId="11"/>
  </si>
  <si>
    <t>整形
外科</t>
    <rPh sb="0" eb="2">
      <t>セイケイ</t>
    </rPh>
    <rPh sb="3" eb="5">
      <t>ゲカ</t>
    </rPh>
    <phoneticPr fontId="11"/>
  </si>
  <si>
    <t>小児科</t>
  </si>
  <si>
    <t>（単位：人、件）</t>
    <rPh sb="1" eb="3">
      <t>タンイ</t>
    </rPh>
    <rPh sb="4" eb="5">
      <t>ヒト</t>
    </rPh>
    <rPh sb="6" eb="7">
      <t>ケン</t>
    </rPh>
    <phoneticPr fontId="11"/>
  </si>
  <si>
    <t>増減</t>
    <rPh sb="0" eb="2">
      <t>ゾウゲン</t>
    </rPh>
    <phoneticPr fontId="11"/>
  </si>
  <si>
    <t>婦人科</t>
    <rPh sb="0" eb="2">
      <t>フジン</t>
    </rPh>
    <rPh sb="2" eb="3">
      <t>カ</t>
    </rPh>
    <phoneticPr fontId="11"/>
  </si>
  <si>
    <t>北部急患診療所</t>
    <rPh sb="0" eb="2">
      <t>ホクブ</t>
    </rPh>
    <rPh sb="2" eb="4">
      <t>キュウカン</t>
    </rPh>
    <rPh sb="4" eb="7">
      <t>シンリョウジョ</t>
    </rPh>
    <phoneticPr fontId="11"/>
  </si>
  <si>
    <t>合　　計</t>
    <rPh sb="0" eb="1">
      <t>ゴウ</t>
    </rPh>
    <rPh sb="3" eb="4">
      <t>ケイ</t>
    </rPh>
    <phoneticPr fontId="11"/>
  </si>
  <si>
    <t>合計</t>
    <rPh sb="0" eb="2">
      <t>ゴウケイ</t>
    </rPh>
    <phoneticPr fontId="11"/>
  </si>
  <si>
    <t>合　計</t>
    <rPh sb="0" eb="1">
      <t>ゴウ</t>
    </rPh>
    <rPh sb="2" eb="3">
      <t>ケイ</t>
    </rPh>
    <phoneticPr fontId="11"/>
  </si>
  <si>
    <t>休日昼間</t>
    <rPh sb="0" eb="2">
      <t>キュウジツ</t>
    </rPh>
    <rPh sb="2" eb="4">
      <t>ヒルマ</t>
    </rPh>
    <phoneticPr fontId="11"/>
  </si>
  <si>
    <t>休日</t>
    <rPh sb="0" eb="2">
      <t>キュウジツ</t>
    </rPh>
    <phoneticPr fontId="11"/>
  </si>
  <si>
    <t>区分</t>
    <rPh sb="0" eb="2">
      <t>クブン</t>
    </rPh>
    <phoneticPr fontId="11"/>
  </si>
  <si>
    <t>内科</t>
    <rPh sb="0" eb="2">
      <t>ナイカ</t>
    </rPh>
    <phoneticPr fontId="11"/>
  </si>
  <si>
    <t>小児科</t>
    <rPh sb="0" eb="3">
      <t>ショウニカ</t>
    </rPh>
    <phoneticPr fontId="11"/>
  </si>
  <si>
    <t>外科</t>
    <rPh sb="0" eb="2">
      <t>ゲカ</t>
    </rPh>
    <phoneticPr fontId="11"/>
  </si>
  <si>
    <t>整形外科</t>
    <rPh sb="0" eb="2">
      <t>セイケイ</t>
    </rPh>
    <rPh sb="2" eb="4">
      <t>ゲカ</t>
    </rPh>
    <phoneticPr fontId="11"/>
  </si>
  <si>
    <t>婦人科</t>
    <rPh sb="0" eb="3">
      <t>フジンカ</t>
    </rPh>
    <phoneticPr fontId="11"/>
  </si>
  <si>
    <t>眼科</t>
    <rPh sb="0" eb="2">
      <t>ガンカ</t>
    </rPh>
    <phoneticPr fontId="11"/>
  </si>
  <si>
    <t>小計</t>
    <rPh sb="0" eb="2">
      <t>ショウケイ</t>
    </rPh>
    <phoneticPr fontId="11"/>
  </si>
  <si>
    <t>診察完結</t>
    <rPh sb="0" eb="1">
      <t>ミ</t>
    </rPh>
    <rPh sb="1" eb="2">
      <t>サツ</t>
    </rPh>
    <rPh sb="2" eb="3">
      <t>カン</t>
    </rPh>
    <rPh sb="3" eb="4">
      <t>ムスブ</t>
    </rPh>
    <phoneticPr fontId="11"/>
  </si>
  <si>
    <t>観察収容</t>
    <rPh sb="0" eb="1">
      <t>カン</t>
    </rPh>
    <rPh sb="1" eb="2">
      <t>サツ</t>
    </rPh>
    <rPh sb="2" eb="3">
      <t>オサム</t>
    </rPh>
    <rPh sb="3" eb="4">
      <t>カタチ</t>
    </rPh>
    <phoneticPr fontId="11"/>
  </si>
  <si>
    <t>二次転送</t>
    <rPh sb="0" eb="1">
      <t>ニ</t>
    </rPh>
    <rPh sb="1" eb="2">
      <t>ツギ</t>
    </rPh>
    <rPh sb="2" eb="3">
      <t>テン</t>
    </rPh>
    <rPh sb="3" eb="4">
      <t>ソウ</t>
    </rPh>
    <phoneticPr fontId="11"/>
  </si>
  <si>
    <t>小　計</t>
    <rPh sb="0" eb="1">
      <t>ショウ</t>
    </rPh>
    <rPh sb="2" eb="3">
      <t>ケイ</t>
    </rPh>
    <phoneticPr fontId="11"/>
  </si>
  <si>
    <t>月別</t>
    <rPh sb="0" eb="2">
      <t>ツキベツ</t>
    </rPh>
    <phoneticPr fontId="11"/>
  </si>
  <si>
    <t>１０月</t>
  </si>
  <si>
    <t>１１月</t>
  </si>
  <si>
    <t>１２月</t>
  </si>
  <si>
    <t>急患センター</t>
    <rPh sb="0" eb="2">
      <t>キュウカン</t>
    </rPh>
    <phoneticPr fontId="11"/>
  </si>
  <si>
    <t>二次転送</t>
    <rPh sb="0" eb="2">
      <t>ニジ</t>
    </rPh>
    <rPh sb="2" eb="4">
      <t>テンソウ</t>
    </rPh>
    <phoneticPr fontId="11"/>
  </si>
  <si>
    <t>４月</t>
    <rPh sb="1" eb="2">
      <t>ガツ</t>
    </rPh>
    <phoneticPr fontId="11"/>
  </si>
  <si>
    <t>１０月</t>
    <rPh sb="2" eb="3">
      <t>ガツ</t>
    </rPh>
    <phoneticPr fontId="11"/>
  </si>
  <si>
    <t>土曜</t>
    <rPh sb="0" eb="2">
      <t>ドヨウ</t>
    </rPh>
    <phoneticPr fontId="11"/>
  </si>
  <si>
    <t>準夜</t>
    <rPh sb="0" eb="1">
      <t>ジュン</t>
    </rPh>
    <rPh sb="1" eb="2">
      <t>ヤ</t>
    </rPh>
    <phoneticPr fontId="11"/>
  </si>
  <si>
    <t>深夜</t>
    <rPh sb="0" eb="2">
      <t>シンヤ</t>
    </rPh>
    <phoneticPr fontId="11"/>
  </si>
  <si>
    <t>計</t>
    <rPh sb="0" eb="1">
      <t>ケイ</t>
    </rPh>
    <phoneticPr fontId="11"/>
  </si>
  <si>
    <t>５月</t>
    <rPh sb="1" eb="2">
      <t>ガツ</t>
    </rPh>
    <phoneticPr fontId="11"/>
  </si>
  <si>
    <t>１１月</t>
    <rPh sb="2" eb="3">
      <t>ガツ</t>
    </rPh>
    <phoneticPr fontId="11"/>
  </si>
  <si>
    <t>６月</t>
    <rPh sb="1" eb="2">
      <t>ガツ</t>
    </rPh>
    <phoneticPr fontId="11"/>
  </si>
  <si>
    <t>１２月</t>
    <rPh sb="2" eb="3">
      <t>ガツ</t>
    </rPh>
    <phoneticPr fontId="11"/>
  </si>
  <si>
    <t>７月</t>
    <rPh sb="1" eb="2">
      <t>ガツ</t>
    </rPh>
    <phoneticPr fontId="11"/>
  </si>
  <si>
    <t>１月</t>
    <rPh sb="1" eb="2">
      <t>ガツ</t>
    </rPh>
    <phoneticPr fontId="11"/>
  </si>
  <si>
    <t>８月</t>
    <rPh sb="1" eb="2">
      <t>ガツ</t>
    </rPh>
    <phoneticPr fontId="11"/>
  </si>
  <si>
    <t>２月</t>
    <rPh sb="1" eb="2">
      <t>ガツ</t>
    </rPh>
    <phoneticPr fontId="11"/>
  </si>
  <si>
    <t>９月</t>
    <rPh sb="1" eb="2">
      <t>ガツ</t>
    </rPh>
    <phoneticPr fontId="11"/>
  </si>
  <si>
    <t>３月</t>
    <rPh sb="1" eb="2">
      <t>ガツ</t>
    </rPh>
    <phoneticPr fontId="11"/>
  </si>
  <si>
    <t>総計</t>
    <rPh sb="0" eb="2">
      <t>ソウケイ</t>
    </rPh>
    <phoneticPr fontId="11"/>
  </si>
  <si>
    <t>総　計</t>
    <rPh sb="0" eb="1">
      <t>フサ</t>
    </rPh>
    <rPh sb="2" eb="3">
      <t>ケイ</t>
    </rPh>
    <phoneticPr fontId="11"/>
  </si>
  <si>
    <t>土曜午後</t>
    <rPh sb="0" eb="2">
      <t>ドヨウ</t>
    </rPh>
    <rPh sb="2" eb="4">
      <t>ゴゴ</t>
    </rPh>
    <phoneticPr fontId="11"/>
  </si>
  <si>
    <t>比率</t>
    <rPh sb="0" eb="2">
      <t>ヒリツ</t>
    </rPh>
    <phoneticPr fontId="11"/>
  </si>
  <si>
    <t>６月</t>
  </si>
  <si>
    <t>７月</t>
  </si>
  <si>
    <t>８月</t>
  </si>
  <si>
    <t>９月</t>
  </si>
  <si>
    <t>１月</t>
  </si>
  <si>
    <t>２月</t>
  </si>
  <si>
    <t>３月</t>
  </si>
  <si>
    <t>耳鼻咽喉科</t>
    <rPh sb="0" eb="2">
      <t>ジビ</t>
    </rPh>
    <rPh sb="2" eb="4">
      <t>インコウ</t>
    </rPh>
    <rPh sb="4" eb="5">
      <t>カ</t>
    </rPh>
    <phoneticPr fontId="11"/>
  </si>
  <si>
    <t>区　分</t>
    <rPh sb="0" eb="1">
      <t>ク</t>
    </rPh>
    <rPh sb="2" eb="3">
      <t>ブン</t>
    </rPh>
    <phoneticPr fontId="11"/>
  </si>
  <si>
    <t>診療科目別患者数（総括表）</t>
    <rPh sb="0" eb="2">
      <t>シンリョウ</t>
    </rPh>
    <rPh sb="2" eb="4">
      <t>カモク</t>
    </rPh>
    <rPh sb="4" eb="5">
      <t>ベツ</t>
    </rPh>
    <rPh sb="5" eb="8">
      <t>カンジャスウ</t>
    </rPh>
    <rPh sb="9" eb="11">
      <t>ソウカツ</t>
    </rPh>
    <rPh sb="11" eb="12">
      <t>ヒョウ</t>
    </rPh>
    <phoneticPr fontId="11"/>
  </si>
  <si>
    <t>休日･昼間</t>
    <rPh sb="0" eb="2">
      <t>キュウジツ</t>
    </rPh>
    <rPh sb="3" eb="5">
      <t>ヒルマ</t>
    </rPh>
    <phoneticPr fontId="11"/>
  </si>
  <si>
    <t>土曜･午後</t>
    <rPh sb="0" eb="2">
      <t>ドヨウ</t>
    </rPh>
    <rPh sb="3" eb="5">
      <t>ゴゴ</t>
    </rPh>
    <phoneticPr fontId="11"/>
  </si>
  <si>
    <t>夜間･準夜</t>
    <rPh sb="0" eb="2">
      <t>ヤカン</t>
    </rPh>
    <rPh sb="3" eb="4">
      <t>ジュン</t>
    </rPh>
    <rPh sb="4" eb="5">
      <t>ヤ</t>
    </rPh>
    <phoneticPr fontId="11"/>
  </si>
  <si>
    <t>夜間･深夜</t>
    <rPh sb="0" eb="2">
      <t>ヤカン</t>
    </rPh>
    <rPh sb="3" eb="5">
      <t>シンヤ</t>
    </rPh>
    <phoneticPr fontId="11"/>
  </si>
  <si>
    <t>第６表</t>
    <rPh sb="0" eb="1">
      <t>ダイ</t>
    </rPh>
    <rPh sb="2" eb="3">
      <t>ヒョウ</t>
    </rPh>
    <phoneticPr fontId="11"/>
  </si>
  <si>
    <t>第7表</t>
    <rPh sb="0" eb="1">
      <t>ダイ</t>
    </rPh>
    <rPh sb="2" eb="3">
      <t>ヒョウ</t>
    </rPh>
    <phoneticPr fontId="11"/>
  </si>
  <si>
    <t>二次転送件数</t>
  </si>
  <si>
    <t>3月</t>
  </si>
  <si>
    <t>2月</t>
  </si>
  <si>
    <t>1月</t>
  </si>
  <si>
    <t>12月</t>
  </si>
  <si>
    <t>11月</t>
  </si>
  <si>
    <t>10月</t>
  </si>
  <si>
    <t>9月</t>
  </si>
  <si>
    <t>8月</t>
  </si>
  <si>
    <t>7月</t>
  </si>
  <si>
    <t>6月</t>
  </si>
  <si>
    <t>5月</t>
  </si>
  <si>
    <t>構成
比率①</t>
    <rPh sb="0" eb="2">
      <t>コウセイ</t>
    </rPh>
    <rPh sb="3" eb="5">
      <t>ヒリツ</t>
    </rPh>
    <phoneticPr fontId="11"/>
  </si>
  <si>
    <t>構成
比率②</t>
    <rPh sb="0" eb="2">
      <t>コウセイ</t>
    </rPh>
    <rPh sb="3" eb="5">
      <t>ヒリツ</t>
    </rPh>
    <phoneticPr fontId="11"/>
  </si>
  <si>
    <t>合計Ａ</t>
    <rPh sb="0" eb="2">
      <t>ゴウケイ</t>
    </rPh>
    <phoneticPr fontId="11"/>
  </si>
  <si>
    <t>比率
（Ａ／Ｂ）</t>
    <rPh sb="0" eb="1">
      <t>ヒ</t>
    </rPh>
    <rPh sb="1" eb="2">
      <t>リツ</t>
    </rPh>
    <phoneticPr fontId="11"/>
  </si>
  <si>
    <t>こども急病
診療所</t>
    <rPh sb="3" eb="5">
      <t>キュウビョウ</t>
    </rPh>
    <rPh sb="6" eb="9">
      <t>シンリョウジョ</t>
    </rPh>
    <phoneticPr fontId="11"/>
  </si>
  <si>
    <t>休日
（昼間）</t>
    <rPh sb="0" eb="2">
      <t>キュウジツ</t>
    </rPh>
    <rPh sb="4" eb="6">
      <t>ヒルマ</t>
    </rPh>
    <phoneticPr fontId="11"/>
  </si>
  <si>
    <t>土曜
（午後）</t>
    <rPh sb="0" eb="2">
      <t>ドヨウ</t>
    </rPh>
    <rPh sb="4" eb="6">
      <t>ゴゴ</t>
    </rPh>
    <phoneticPr fontId="11"/>
  </si>
  <si>
    <t>夜間
（準夜）</t>
    <rPh sb="0" eb="2">
      <t>ヤカン</t>
    </rPh>
    <rPh sb="4" eb="5">
      <t>ジュン</t>
    </rPh>
    <rPh sb="5" eb="6">
      <t>ヤ</t>
    </rPh>
    <phoneticPr fontId="11"/>
  </si>
  <si>
    <t>夜間
（深夜）</t>
    <rPh sb="0" eb="2">
      <t>ヤカン</t>
    </rPh>
    <rPh sb="4" eb="6">
      <t>シンヤ</t>
    </rPh>
    <phoneticPr fontId="11"/>
  </si>
  <si>
    <t>こども急病診療所</t>
    <rPh sb="3" eb="5">
      <t>キュウビョウ</t>
    </rPh>
    <rPh sb="5" eb="8">
      <t>シンリョウジョ</t>
    </rPh>
    <phoneticPr fontId="11"/>
  </si>
  <si>
    <t>（単位：人）</t>
    <rPh sb="1" eb="3">
      <t>タンイ</t>
    </rPh>
    <rPh sb="4" eb="5">
      <t>ヒト</t>
    </rPh>
    <phoneticPr fontId="11"/>
  </si>
  <si>
    <t>構成比率②</t>
    <rPh sb="0" eb="2">
      <t>コウセイ</t>
    </rPh>
    <rPh sb="2" eb="4">
      <t>ヒリツ</t>
    </rPh>
    <phoneticPr fontId="11"/>
  </si>
  <si>
    <t>構成比率①</t>
    <rPh sb="0" eb="2">
      <t>コウセイ</t>
    </rPh>
    <rPh sb="2" eb="4">
      <t>ヒリツ</t>
    </rPh>
    <phoneticPr fontId="11"/>
  </si>
  <si>
    <t>　　　　　　　　(単位：人）</t>
    <rPh sb="9" eb="11">
      <t>タンイ</t>
    </rPh>
    <rPh sb="12" eb="13">
      <t>ヒト</t>
    </rPh>
    <phoneticPr fontId="11"/>
  </si>
  <si>
    <t>急患センタ－</t>
    <rPh sb="0" eb="1">
      <t>キュウ</t>
    </rPh>
    <rPh sb="1" eb="2">
      <t>ワズラ</t>
    </rPh>
    <phoneticPr fontId="11"/>
  </si>
  <si>
    <t>北部急患診療所</t>
    <rPh sb="0" eb="1">
      <t>キタ</t>
    </rPh>
    <rPh sb="1" eb="2">
      <t>ブ</t>
    </rPh>
    <rPh sb="2" eb="4">
      <t>キュウカン</t>
    </rPh>
    <rPh sb="4" eb="5">
      <t>ミ</t>
    </rPh>
    <rPh sb="5" eb="6">
      <t>リョウ</t>
    </rPh>
    <rPh sb="6" eb="7">
      <t>ショ</t>
    </rPh>
    <phoneticPr fontId="11"/>
  </si>
  <si>
    <t>合　計</t>
    <rPh sb="0" eb="1">
      <t>アイ</t>
    </rPh>
    <rPh sb="2" eb="3">
      <t>ケイ</t>
    </rPh>
    <phoneticPr fontId="11"/>
  </si>
  <si>
    <t>０歳</t>
    <rPh sb="1" eb="2">
      <t>サイ</t>
    </rPh>
    <phoneticPr fontId="11"/>
  </si>
  <si>
    <t>１歳</t>
    <rPh sb="1" eb="2">
      <t>サイ</t>
    </rPh>
    <phoneticPr fontId="11"/>
  </si>
  <si>
    <t>２歳</t>
    <rPh sb="1" eb="2">
      <t>サイ</t>
    </rPh>
    <phoneticPr fontId="11"/>
  </si>
  <si>
    <t>３歳</t>
    <rPh sb="1" eb="2">
      <t>サイ</t>
    </rPh>
    <phoneticPr fontId="11"/>
  </si>
  <si>
    <t>４歳</t>
    <rPh sb="1" eb="2">
      <t>サイ</t>
    </rPh>
    <phoneticPr fontId="11"/>
  </si>
  <si>
    <t>５歳</t>
    <rPh sb="1" eb="2">
      <t>サイ</t>
    </rPh>
    <phoneticPr fontId="11"/>
  </si>
  <si>
    <t>青葉</t>
    <rPh sb="0" eb="2">
      <t>アオバ</t>
    </rPh>
    <phoneticPr fontId="11"/>
  </si>
  <si>
    <t>宮城野</t>
    <rPh sb="0" eb="3">
      <t>ミヤギノ</t>
    </rPh>
    <phoneticPr fontId="11"/>
  </si>
  <si>
    <t>若林</t>
    <rPh sb="0" eb="2">
      <t>ワカバヤシ</t>
    </rPh>
    <phoneticPr fontId="11"/>
  </si>
  <si>
    <t>太白</t>
    <rPh sb="0" eb="2">
      <t>タイハク</t>
    </rPh>
    <phoneticPr fontId="11"/>
  </si>
  <si>
    <t>泉</t>
    <rPh sb="0" eb="1">
      <t>イズミ</t>
    </rPh>
    <phoneticPr fontId="11"/>
  </si>
  <si>
    <t>市外</t>
    <rPh sb="0" eb="2">
      <t>シガイ</t>
    </rPh>
    <phoneticPr fontId="11"/>
  </si>
  <si>
    <t>県外</t>
    <rPh sb="0" eb="2">
      <t>ケンガイ</t>
    </rPh>
    <phoneticPr fontId="11"/>
  </si>
  <si>
    <t>区分</t>
    <rPh sb="0" eb="1">
      <t>ク</t>
    </rPh>
    <rPh sb="1" eb="2">
      <t>ブン</t>
    </rPh>
    <phoneticPr fontId="11"/>
  </si>
  <si>
    <t>市内計</t>
    <rPh sb="0" eb="2">
      <t>シナイ</t>
    </rPh>
    <rPh sb="2" eb="3">
      <t>ケイ</t>
    </rPh>
    <phoneticPr fontId="11"/>
  </si>
  <si>
    <t>仙台
市内</t>
    <rPh sb="0" eb="2">
      <t>センダイ</t>
    </rPh>
    <rPh sb="3" eb="5">
      <t>シナイ</t>
    </rPh>
    <phoneticPr fontId="11"/>
  </si>
  <si>
    <t>名取</t>
    <rPh sb="0" eb="2">
      <t>ナトリ</t>
    </rPh>
    <phoneticPr fontId="11"/>
  </si>
  <si>
    <t>岩沼</t>
    <rPh sb="0" eb="2">
      <t>イワヌマ</t>
    </rPh>
    <phoneticPr fontId="11"/>
  </si>
  <si>
    <t>多賀城</t>
    <rPh sb="0" eb="3">
      <t>タガジョウ</t>
    </rPh>
    <phoneticPr fontId="11"/>
  </si>
  <si>
    <t>塩釜</t>
    <rPh sb="0" eb="2">
      <t>シオガマ</t>
    </rPh>
    <phoneticPr fontId="11"/>
  </si>
  <si>
    <t>富谷</t>
    <rPh sb="0" eb="2">
      <t>トミヤ</t>
    </rPh>
    <phoneticPr fontId="11"/>
  </si>
  <si>
    <t>大和</t>
    <rPh sb="0" eb="2">
      <t>ヤマト</t>
    </rPh>
    <phoneticPr fontId="11"/>
  </si>
  <si>
    <t>大衡</t>
    <rPh sb="0" eb="2">
      <t>オオヒラ</t>
    </rPh>
    <phoneticPr fontId="11"/>
  </si>
  <si>
    <t>利府</t>
    <rPh sb="0" eb="2">
      <t>リフ</t>
    </rPh>
    <phoneticPr fontId="11"/>
  </si>
  <si>
    <t>松島</t>
    <rPh sb="0" eb="2">
      <t>マツシマ</t>
    </rPh>
    <phoneticPr fontId="11"/>
  </si>
  <si>
    <t>七ヶ浜</t>
    <rPh sb="0" eb="3">
      <t>シチガハマ</t>
    </rPh>
    <phoneticPr fontId="11"/>
  </si>
  <si>
    <t>亘理</t>
    <rPh sb="0" eb="2">
      <t>ワタリ</t>
    </rPh>
    <phoneticPr fontId="11"/>
  </si>
  <si>
    <t>山元</t>
    <rPh sb="0" eb="2">
      <t>ヤマモト</t>
    </rPh>
    <phoneticPr fontId="11"/>
  </si>
  <si>
    <t>川崎</t>
    <rPh sb="0" eb="2">
      <t>カワサキ</t>
    </rPh>
    <phoneticPr fontId="11"/>
  </si>
  <si>
    <t>その他
の県内</t>
    <rPh sb="2" eb="3">
      <t>タ</t>
    </rPh>
    <rPh sb="5" eb="7">
      <t>ケンナイ</t>
    </rPh>
    <phoneticPr fontId="11"/>
  </si>
  <si>
    <t>市外・県外</t>
  </si>
  <si>
    <t>合計</t>
  </si>
  <si>
    <t>人　（</t>
    <rPh sb="0" eb="1">
      <t>ニン</t>
    </rPh>
    <phoneticPr fontId="11"/>
  </si>
  <si>
    <t>（単位：人、件）</t>
  </si>
  <si>
    <t>(単位 : 人）</t>
    <rPh sb="1" eb="3">
      <t>タンイ</t>
    </rPh>
    <rPh sb="6" eb="7">
      <t>ヒト</t>
    </rPh>
    <phoneticPr fontId="11"/>
  </si>
  <si>
    <t>～</t>
    <phoneticPr fontId="11"/>
  </si>
  <si>
    <t>（単位：人）</t>
    <phoneticPr fontId="11"/>
  </si>
  <si>
    <t>こども急病診療所</t>
    <phoneticPr fontId="11"/>
  </si>
  <si>
    <t>5’38</t>
  </si>
  <si>
    <t>医療機関名</t>
  </si>
  <si>
    <t>仙台オープン病院</t>
  </si>
  <si>
    <t>仙台市立病院</t>
  </si>
  <si>
    <t>東北労災病院</t>
  </si>
  <si>
    <t>仙台厚生病院</t>
  </si>
  <si>
    <t>仙台医療センター</t>
  </si>
  <si>
    <t>東北大学病院</t>
  </si>
  <si>
    <t>広南病院</t>
  </si>
  <si>
    <t>仙台徳洲会病院</t>
  </si>
  <si>
    <t>東北医科薬科大学病院</t>
  </si>
  <si>
    <t>泉病院</t>
  </si>
  <si>
    <t>仙台東脳神経外科</t>
  </si>
  <si>
    <t>松田病院</t>
  </si>
  <si>
    <t>15歳
以上</t>
    <rPh sb="2" eb="3">
      <t>サイ</t>
    </rPh>
    <rPh sb="4" eb="6">
      <t>イジョウ</t>
    </rPh>
    <phoneticPr fontId="11"/>
  </si>
  <si>
    <t>2018年度</t>
    <rPh sb="4" eb="6">
      <t>ネンド</t>
    </rPh>
    <phoneticPr fontId="11"/>
  </si>
  <si>
    <t>2015年度</t>
    <rPh sb="4" eb="6">
      <t>ネンド</t>
    </rPh>
    <phoneticPr fontId="11"/>
  </si>
  <si>
    <t>2016年度</t>
    <rPh sb="4" eb="6">
      <t>ネンド</t>
    </rPh>
    <phoneticPr fontId="11"/>
  </si>
  <si>
    <t>2017年度</t>
    <rPh sb="4" eb="6">
      <t>ネンド</t>
    </rPh>
    <phoneticPr fontId="11"/>
  </si>
  <si>
    <t>前年
同時期Ｂ</t>
    <rPh sb="0" eb="2">
      <t>ゼンネン</t>
    </rPh>
    <rPh sb="3" eb="6">
      <t>ドウジキ</t>
    </rPh>
    <phoneticPr fontId="11"/>
  </si>
  <si>
    <t>　　　　　　　　　(単位：人）</t>
    <phoneticPr fontId="11"/>
  </si>
  <si>
    <t>　　　　　　　　(単位：人）</t>
    <phoneticPr fontId="11"/>
  </si>
  <si>
    <t>■急患センター</t>
    <rPh sb="1" eb="3">
      <t>キュウカン</t>
    </rPh>
    <phoneticPr fontId="11"/>
  </si>
  <si>
    <t>Ⅹ　線　照　射</t>
    <rPh sb="2" eb="3">
      <t>セン</t>
    </rPh>
    <rPh sb="4" eb="5">
      <t>テル</t>
    </rPh>
    <rPh sb="6" eb="7">
      <t>イ</t>
    </rPh>
    <phoneticPr fontId="11"/>
  </si>
  <si>
    <t>臨　床　検　査</t>
    <rPh sb="0" eb="1">
      <t>ノゾム</t>
    </rPh>
    <rPh sb="2" eb="3">
      <t>ユカ</t>
    </rPh>
    <rPh sb="4" eb="5">
      <t>ケン</t>
    </rPh>
    <rPh sb="6" eb="7">
      <t>サ</t>
    </rPh>
    <phoneticPr fontId="11"/>
  </si>
  <si>
    <t>調　剤</t>
    <rPh sb="0" eb="1">
      <t>チョウ</t>
    </rPh>
    <rPh sb="2" eb="3">
      <t>ザイ</t>
    </rPh>
    <phoneticPr fontId="11"/>
  </si>
  <si>
    <t>人　数</t>
    <rPh sb="0" eb="1">
      <t>ヒト</t>
    </rPh>
    <rPh sb="2" eb="3">
      <t>スウ</t>
    </rPh>
    <phoneticPr fontId="11"/>
  </si>
  <si>
    <t>件数</t>
    <rPh sb="0" eb="2">
      <t>ケンスウ</t>
    </rPh>
    <phoneticPr fontId="11"/>
  </si>
  <si>
    <t>尿定性</t>
    <rPh sb="0" eb="1">
      <t>ニョウ</t>
    </rPh>
    <rPh sb="1" eb="2">
      <t>テイ</t>
    </rPh>
    <rPh sb="2" eb="3">
      <t>セイ</t>
    </rPh>
    <phoneticPr fontId="11"/>
  </si>
  <si>
    <t>尿沈査</t>
    <rPh sb="0" eb="1">
      <t>ニョウ</t>
    </rPh>
    <rPh sb="1" eb="2">
      <t>チン</t>
    </rPh>
    <rPh sb="2" eb="3">
      <t>サ</t>
    </rPh>
    <phoneticPr fontId="11"/>
  </si>
  <si>
    <t>血球
一般</t>
    <rPh sb="0" eb="2">
      <t>ケッキュウ</t>
    </rPh>
    <rPh sb="3" eb="5">
      <t>イッパン</t>
    </rPh>
    <phoneticPr fontId="11"/>
  </si>
  <si>
    <t>白血球
分画</t>
    <rPh sb="0" eb="3">
      <t>ハッケッキュウ</t>
    </rPh>
    <rPh sb="4" eb="6">
      <t>ブンカク</t>
    </rPh>
    <phoneticPr fontId="11"/>
  </si>
  <si>
    <t>生化学</t>
    <rPh sb="0" eb="3">
      <t>セイカガク</t>
    </rPh>
    <phoneticPr fontId="11"/>
  </si>
  <si>
    <t>心電図</t>
    <rPh sb="0" eb="2">
      <t>シンデン</t>
    </rPh>
    <rPh sb="2" eb="3">
      <t>ズ</t>
    </rPh>
    <phoneticPr fontId="11"/>
  </si>
  <si>
    <t>インフル
エンザ</t>
    <phoneticPr fontId="11"/>
  </si>
  <si>
    <t>その他</t>
    <rPh sb="2" eb="3">
      <t>タ</t>
    </rPh>
    <phoneticPr fontId="11"/>
  </si>
  <si>
    <t>処方箋</t>
    <rPh sb="0" eb="3">
      <t>ショホウセン</t>
    </rPh>
    <phoneticPr fontId="11"/>
  </si>
  <si>
    <t>調剤数</t>
    <rPh sb="0" eb="2">
      <t>チョウザイ</t>
    </rPh>
    <rPh sb="2" eb="3">
      <t>スウ</t>
    </rPh>
    <phoneticPr fontId="11"/>
  </si>
  <si>
    <t>５月</t>
  </si>
  <si>
    <t>１月</t>
    <phoneticPr fontId="11"/>
  </si>
  <si>
    <t>前年度</t>
    <rPh sb="0" eb="2">
      <t>ゼンネン</t>
    </rPh>
    <rPh sb="2" eb="3">
      <t>ド</t>
    </rPh>
    <phoneticPr fontId="11"/>
  </si>
  <si>
    <t>■北部急患診療所</t>
    <rPh sb="1" eb="3">
      <t>ホクブ</t>
    </rPh>
    <rPh sb="3" eb="5">
      <t>キュウカン</t>
    </rPh>
    <rPh sb="5" eb="7">
      <t>シンリョウ</t>
    </rPh>
    <rPh sb="7" eb="8">
      <t>ジョ</t>
    </rPh>
    <phoneticPr fontId="11"/>
  </si>
  <si>
    <t>■こども急病診療所</t>
    <rPh sb="4" eb="6">
      <t>キュウビョウ</t>
    </rPh>
    <rPh sb="6" eb="8">
      <t>シンリョウ</t>
    </rPh>
    <rPh sb="8" eb="9">
      <t>ジョ</t>
    </rPh>
    <phoneticPr fontId="11"/>
  </si>
  <si>
    <t>Ⅹ線照射 （市立病院に委託）</t>
    <rPh sb="1" eb="2">
      <t>セン</t>
    </rPh>
    <rPh sb="2" eb="3">
      <t>テル</t>
    </rPh>
    <rPh sb="3" eb="4">
      <t>イ</t>
    </rPh>
    <rPh sb="6" eb="8">
      <t>シリツ</t>
    </rPh>
    <rPh sb="8" eb="10">
      <t>ビョウイン</t>
    </rPh>
    <rPh sb="11" eb="13">
      <t>イタク</t>
    </rPh>
    <phoneticPr fontId="11"/>
  </si>
  <si>
    <t>あ</t>
    <phoneticPr fontId="11"/>
  </si>
  <si>
    <t>－</t>
    <phoneticPr fontId="11"/>
  </si>
  <si>
    <t>急患
センター</t>
    <rPh sb="0" eb="2">
      <t>キュウカン</t>
    </rPh>
    <phoneticPr fontId="11"/>
  </si>
  <si>
    <t>北部急患
診療所</t>
    <rPh sb="0" eb="2">
      <t>ホクブ</t>
    </rPh>
    <rPh sb="2" eb="4">
      <t>キュウカン</t>
    </rPh>
    <rPh sb="5" eb="8">
      <t>シンリョウジョ</t>
    </rPh>
    <phoneticPr fontId="11"/>
  </si>
  <si>
    <t>）</t>
    <phoneticPr fontId="11"/>
  </si>
  <si>
    <t>JR仙台病院</t>
  </si>
  <si>
    <t>5’58</t>
  </si>
  <si>
    <t>12～
14歳</t>
    <rPh sb="6" eb="7">
      <t>サイ</t>
    </rPh>
    <phoneticPr fontId="11"/>
  </si>
  <si>
    <t>10～
11歳</t>
    <rPh sb="6" eb="7">
      <t>サイ</t>
    </rPh>
    <phoneticPr fontId="11"/>
  </si>
  <si>
    <t>8～
9歳</t>
    <rPh sb="4" eb="5">
      <t>サイ</t>
    </rPh>
    <phoneticPr fontId="11"/>
  </si>
  <si>
    <t>6～
7歳</t>
    <rPh sb="4" eb="5">
      <t>サイ</t>
    </rPh>
    <phoneticPr fontId="11"/>
  </si>
  <si>
    <t>70歳
以上</t>
    <rPh sb="2" eb="3">
      <t>サイ</t>
    </rPh>
    <rPh sb="4" eb="6">
      <t>イジョウ</t>
    </rPh>
    <phoneticPr fontId="11"/>
  </si>
  <si>
    <t>60～
69歳</t>
    <rPh sb="6" eb="7">
      <t>サイ</t>
    </rPh>
    <phoneticPr fontId="11"/>
  </si>
  <si>
    <t>50～
59歳</t>
    <rPh sb="6" eb="7">
      <t>サイ</t>
    </rPh>
    <phoneticPr fontId="11"/>
  </si>
  <si>
    <t>40～
49歳</t>
    <rPh sb="6" eb="7">
      <t>サイ</t>
    </rPh>
    <phoneticPr fontId="11"/>
  </si>
  <si>
    <t>30～
39歳</t>
    <rPh sb="6" eb="7">
      <t>サイ</t>
    </rPh>
    <phoneticPr fontId="11"/>
  </si>
  <si>
    <t>20～
29歳</t>
    <rPh sb="6" eb="7">
      <t>サイ</t>
    </rPh>
    <phoneticPr fontId="11"/>
  </si>
  <si>
    <t>15～
19歳</t>
    <rPh sb="6" eb="7">
      <t>サイ</t>
    </rPh>
    <phoneticPr fontId="11"/>
  </si>
  <si>
    <t>6～
14歳</t>
    <rPh sb="5" eb="6">
      <t>サイ</t>
    </rPh>
    <phoneticPr fontId="11"/>
  </si>
  <si>
    <t>6歳
未満</t>
    <rPh sb="1" eb="2">
      <t>サイ</t>
    </rPh>
    <rPh sb="3" eb="5">
      <t>ミマン</t>
    </rPh>
    <phoneticPr fontId="11"/>
  </si>
  <si>
    <t>区　分</t>
    <phoneticPr fontId="11"/>
  </si>
  <si>
    <t>2019年度</t>
    <rPh sb="4" eb="6">
      <t>ネンド</t>
    </rPh>
    <phoneticPr fontId="11"/>
  </si>
  <si>
    <t>医療機関名</t>
    <rPh sb="0" eb="2">
      <t>イリョウ</t>
    </rPh>
    <rPh sb="2" eb="4">
      <t>キカン</t>
    </rPh>
    <rPh sb="4" eb="5">
      <t>メイ</t>
    </rPh>
    <phoneticPr fontId="11"/>
  </si>
  <si>
    <t>4月</t>
    <rPh sb="1" eb="2">
      <t>ツキ</t>
    </rPh>
    <phoneticPr fontId="11"/>
  </si>
  <si>
    <t>6月</t>
    <rPh sb="1" eb="2">
      <t>ガツ</t>
    </rPh>
    <phoneticPr fontId="11"/>
  </si>
  <si>
    <t>7月</t>
    <rPh sb="1" eb="2">
      <t>ガツ</t>
    </rPh>
    <phoneticPr fontId="11"/>
  </si>
  <si>
    <t>9月</t>
    <rPh sb="1" eb="2">
      <t>ガツ</t>
    </rPh>
    <phoneticPr fontId="11"/>
  </si>
  <si>
    <t>10月</t>
    <rPh sb="2" eb="3">
      <t>ガツ</t>
    </rPh>
    <phoneticPr fontId="11"/>
  </si>
  <si>
    <t>11月</t>
    <rPh sb="2" eb="3">
      <t>ガツ</t>
    </rPh>
    <phoneticPr fontId="11"/>
  </si>
  <si>
    <t>12月</t>
    <rPh sb="2" eb="3">
      <t>ガツ</t>
    </rPh>
    <phoneticPr fontId="11"/>
  </si>
  <si>
    <t>1月</t>
    <rPh sb="1" eb="2">
      <t>ガツ</t>
    </rPh>
    <phoneticPr fontId="11"/>
  </si>
  <si>
    <t>2月</t>
    <rPh sb="1" eb="2">
      <t>ガツ</t>
    </rPh>
    <phoneticPr fontId="11"/>
  </si>
  <si>
    <t>3月</t>
    <rPh sb="1" eb="2">
      <t>ガツ</t>
    </rPh>
    <phoneticPr fontId="11"/>
  </si>
  <si>
    <t>8’55</t>
  </si>
  <si>
    <t>7’56</t>
  </si>
  <si>
    <t>2020年度</t>
    <rPh sb="4" eb="6">
      <t>ネンド</t>
    </rPh>
    <phoneticPr fontId="11"/>
  </si>
  <si>
    <t>5月</t>
    <phoneticPr fontId="11"/>
  </si>
  <si>
    <t>8月</t>
    <phoneticPr fontId="11"/>
  </si>
  <si>
    <t>―</t>
    <phoneticPr fontId="11"/>
  </si>
  <si>
    <t>第１１表　診療科目別患者数（総括表）</t>
    <rPh sb="0" eb="1">
      <t>ダイ</t>
    </rPh>
    <rPh sb="3" eb="4">
      <t>ヒョウ</t>
    </rPh>
    <rPh sb="5" eb="7">
      <t>シンリョウ</t>
    </rPh>
    <rPh sb="7" eb="9">
      <t>カモク</t>
    </rPh>
    <rPh sb="9" eb="10">
      <t>ベツ</t>
    </rPh>
    <rPh sb="10" eb="13">
      <t>カンジャスウ</t>
    </rPh>
    <rPh sb="14" eb="16">
      <t>ソウカツ</t>
    </rPh>
    <rPh sb="16" eb="17">
      <t>ヒョウ</t>
    </rPh>
    <phoneticPr fontId="11"/>
  </si>
  <si>
    <t>前年度比</t>
    <rPh sb="0" eb="4">
      <t>ゼンネンドヒ</t>
    </rPh>
    <phoneticPr fontId="11"/>
  </si>
  <si>
    <t>6’18</t>
  </si>
  <si>
    <t>第１０表　診療時間帯別患者数（総括表）</t>
    <rPh sb="0" eb="1">
      <t>ダイ</t>
    </rPh>
    <rPh sb="3" eb="4">
      <t>ヒョウ</t>
    </rPh>
    <rPh sb="5" eb="7">
      <t>シンリョウ</t>
    </rPh>
    <rPh sb="7" eb="9">
      <t>ジカン</t>
    </rPh>
    <rPh sb="9" eb="10">
      <t>タイ</t>
    </rPh>
    <rPh sb="10" eb="11">
      <t>ベツ</t>
    </rPh>
    <rPh sb="11" eb="14">
      <t>カンジャスウ</t>
    </rPh>
    <phoneticPr fontId="11"/>
  </si>
  <si>
    <t>増減</t>
  </si>
  <si>
    <t>2021年度</t>
    <rPh sb="4" eb="6">
      <t>ネンド</t>
    </rPh>
    <phoneticPr fontId="11"/>
  </si>
  <si>
    <t>(単位：件）</t>
    <rPh sb="1" eb="3">
      <t>タンイ</t>
    </rPh>
    <rPh sb="4" eb="5">
      <t>ケン</t>
    </rPh>
    <phoneticPr fontId="11"/>
  </si>
  <si>
    <t>(単位：人）</t>
    <rPh sb="1" eb="3">
      <t>タンイ</t>
    </rPh>
    <rPh sb="4" eb="5">
      <t>ヒト</t>
    </rPh>
    <phoneticPr fontId="11"/>
  </si>
  <si>
    <t>■北部急患診療所</t>
    <rPh sb="1" eb="3">
      <t>ホクブ</t>
    </rPh>
    <rPh sb="3" eb="5">
      <t>キュウカン</t>
    </rPh>
    <rPh sb="5" eb="8">
      <t>シンリョウショ</t>
    </rPh>
    <phoneticPr fontId="11"/>
  </si>
  <si>
    <t>■こども急病診療所</t>
    <rPh sb="4" eb="6">
      <t>キュウビョウ</t>
    </rPh>
    <rPh sb="6" eb="9">
      <t>シンリョウショ</t>
    </rPh>
    <phoneticPr fontId="11"/>
  </si>
  <si>
    <t>新型ｺﾛﾅ
ウイルス</t>
    <rPh sb="0" eb="2">
      <t>シンガタ</t>
    </rPh>
    <phoneticPr fontId="11"/>
  </si>
  <si>
    <t>2022年度</t>
    <rPh sb="4" eb="6">
      <t>ネンド</t>
    </rPh>
    <phoneticPr fontId="11"/>
  </si>
  <si>
    <t>8’07</t>
  </si>
  <si>
    <t>Ｒ1年度
同時期Ｃ</t>
    <rPh sb="2" eb="3">
      <t>ネン</t>
    </rPh>
    <rPh sb="3" eb="4">
      <t>ド</t>
    </rPh>
    <rPh sb="5" eb="8">
      <t>ドウジキ</t>
    </rPh>
    <phoneticPr fontId="11"/>
  </si>
  <si>
    <t>比率
（Ａ／Ｃ）</t>
    <rPh sb="0" eb="1">
      <t>ヒ</t>
    </rPh>
    <rPh sb="1" eb="2">
      <t>リツ</t>
    </rPh>
    <phoneticPr fontId="11"/>
  </si>
  <si>
    <t>2023年度</t>
    <rPh sb="4" eb="6">
      <t>ネンド</t>
    </rPh>
    <phoneticPr fontId="11"/>
  </si>
  <si>
    <t>令和5年度</t>
    <rPh sb="0" eb="1">
      <t>レイ</t>
    </rPh>
    <rPh sb="1" eb="2">
      <t>ワ</t>
    </rPh>
    <rPh sb="3" eb="5">
      <t>ネンド</t>
    </rPh>
    <rPh sb="4" eb="5">
      <t>ド</t>
    </rPh>
    <phoneticPr fontId="11"/>
  </si>
  <si>
    <t>第１表　令和６年度診療科目別患者数</t>
    <rPh sb="0" eb="1">
      <t>ダイ</t>
    </rPh>
    <rPh sb="2" eb="3">
      <t>ヒョウ</t>
    </rPh>
    <rPh sb="4" eb="5">
      <t>レイ</t>
    </rPh>
    <rPh sb="5" eb="6">
      <t>ワ</t>
    </rPh>
    <rPh sb="7" eb="8">
      <t>ネン</t>
    </rPh>
    <rPh sb="8" eb="9">
      <t>ド</t>
    </rPh>
    <rPh sb="9" eb="11">
      <t>シンリョウ</t>
    </rPh>
    <rPh sb="11" eb="13">
      <t>カモク</t>
    </rPh>
    <rPh sb="13" eb="14">
      <t>ベツ</t>
    </rPh>
    <rPh sb="14" eb="17">
      <t>カンジャスウ</t>
    </rPh>
    <phoneticPr fontId="11"/>
  </si>
  <si>
    <t>第５表　令和６年度Ⅹ線照射・臨床検査・調剤件数</t>
    <rPh sb="0" eb="1">
      <t>ダイ</t>
    </rPh>
    <rPh sb="2" eb="3">
      <t>ヒョウ</t>
    </rPh>
    <rPh sb="4" eb="6">
      <t>レイワ</t>
    </rPh>
    <rPh sb="7" eb="8">
      <t>ネン</t>
    </rPh>
    <rPh sb="8" eb="9">
      <t>ド</t>
    </rPh>
    <rPh sb="10" eb="11">
      <t>セン</t>
    </rPh>
    <rPh sb="11" eb="13">
      <t>ショウシャ</t>
    </rPh>
    <rPh sb="14" eb="16">
      <t>リンショウ</t>
    </rPh>
    <rPh sb="16" eb="18">
      <t>ケンサ</t>
    </rPh>
    <rPh sb="19" eb="21">
      <t>チョウザイ</t>
    </rPh>
    <rPh sb="21" eb="23">
      <t>ケンスウ</t>
    </rPh>
    <phoneticPr fontId="11"/>
  </si>
  <si>
    <t>第３表　令和６年度処置別患者数</t>
    <rPh sb="0" eb="1">
      <t>ダイ</t>
    </rPh>
    <rPh sb="2" eb="3">
      <t>ヒョウ</t>
    </rPh>
    <rPh sb="4" eb="5">
      <t>レイ</t>
    </rPh>
    <rPh sb="5" eb="6">
      <t>ワ</t>
    </rPh>
    <rPh sb="7" eb="9">
      <t>ネンド</t>
    </rPh>
    <rPh sb="9" eb="11">
      <t>ショチ</t>
    </rPh>
    <rPh sb="11" eb="12">
      <t>ベツ</t>
    </rPh>
    <rPh sb="12" eb="15">
      <t>カンジャスウ</t>
    </rPh>
    <phoneticPr fontId="11"/>
  </si>
  <si>
    <t>第２表　令和６年度診療時間帯別患者数</t>
    <rPh sb="4" eb="5">
      <t>レイ</t>
    </rPh>
    <rPh sb="5" eb="6">
      <t>ワ</t>
    </rPh>
    <rPh sb="7" eb="9">
      <t>ネンド</t>
    </rPh>
    <rPh sb="9" eb="11">
      <t>シンリョウ</t>
    </rPh>
    <rPh sb="11" eb="14">
      <t>ジカンタイ</t>
    </rPh>
    <rPh sb="14" eb="15">
      <t>ベツ</t>
    </rPh>
    <rPh sb="15" eb="18">
      <t>カンジャスウ</t>
    </rPh>
    <phoneticPr fontId="11"/>
  </si>
  <si>
    <t>第６表　令和６年度と令和５年度との患者数の比較</t>
    <rPh sb="0" eb="1">
      <t>ダイ</t>
    </rPh>
    <rPh sb="2" eb="3">
      <t>ヒョウ</t>
    </rPh>
    <rPh sb="4" eb="5">
      <t>レイ</t>
    </rPh>
    <rPh sb="5" eb="6">
      <t>ワ</t>
    </rPh>
    <rPh sb="7" eb="8">
      <t>ネン</t>
    </rPh>
    <rPh sb="8" eb="9">
      <t>ド</t>
    </rPh>
    <rPh sb="10" eb="11">
      <t>レイ</t>
    </rPh>
    <rPh sb="11" eb="12">
      <t>ワ</t>
    </rPh>
    <rPh sb="13" eb="15">
      <t>ネンド</t>
    </rPh>
    <rPh sb="17" eb="20">
      <t>カンジャスウ</t>
    </rPh>
    <rPh sb="21" eb="23">
      <t>ヒカク</t>
    </rPh>
    <phoneticPr fontId="11"/>
  </si>
  <si>
    <t>第９表　令和６年度診療科目別･年齢階層別患者数・構成比率</t>
    <rPh sb="0" eb="1">
      <t>ダイ</t>
    </rPh>
    <rPh sb="2" eb="3">
      <t>ヒョウ</t>
    </rPh>
    <rPh sb="4" eb="6">
      <t>レイワ</t>
    </rPh>
    <rPh sb="7" eb="8">
      <t>ネン</t>
    </rPh>
    <rPh sb="8" eb="9">
      <t>ド</t>
    </rPh>
    <rPh sb="9" eb="11">
      <t>シンリョウ</t>
    </rPh>
    <phoneticPr fontId="11"/>
  </si>
  <si>
    <t>第７表　令和６年度仙台市各区毎の患者数</t>
    <rPh sb="0" eb="1">
      <t>ダイ</t>
    </rPh>
    <rPh sb="2" eb="3">
      <t>ヒョウ</t>
    </rPh>
    <rPh sb="4" eb="6">
      <t>レイワ</t>
    </rPh>
    <rPh sb="7" eb="8">
      <t>ネン</t>
    </rPh>
    <rPh sb="8" eb="9">
      <t>ド</t>
    </rPh>
    <rPh sb="9" eb="11">
      <t>センダイ</t>
    </rPh>
    <rPh sb="11" eb="12">
      <t>シ</t>
    </rPh>
    <rPh sb="12" eb="13">
      <t>カク</t>
    </rPh>
    <rPh sb="13" eb="14">
      <t>ク</t>
    </rPh>
    <rPh sb="14" eb="15">
      <t>ゴト</t>
    </rPh>
    <rPh sb="16" eb="17">
      <t>ワズラ</t>
    </rPh>
    <rPh sb="17" eb="18">
      <t>シャ</t>
    </rPh>
    <rPh sb="18" eb="19">
      <t>カズ</t>
    </rPh>
    <phoneticPr fontId="11"/>
  </si>
  <si>
    <t>2024年度</t>
    <rPh sb="4" eb="6">
      <t>ネンド</t>
    </rPh>
    <phoneticPr fontId="11"/>
  </si>
  <si>
    <t>-</t>
    <phoneticPr fontId="11"/>
  </si>
  <si>
    <t>-</t>
    <phoneticPr fontId="11"/>
  </si>
  <si>
    <t>仙台市立病院</t>
    <rPh sb="0" eb="2">
      <t>センダイ</t>
    </rPh>
    <rPh sb="2" eb="4">
      <t>シリツ</t>
    </rPh>
    <rPh sb="4" eb="6">
      <t>ビョウイン</t>
    </rPh>
    <phoneticPr fontId="1"/>
  </si>
  <si>
    <t>仙台オープン病院</t>
    <rPh sb="0" eb="2">
      <t>センダイ</t>
    </rPh>
    <rPh sb="6" eb="8">
      <t>ビョウイン</t>
    </rPh>
    <phoneticPr fontId="1"/>
  </si>
  <si>
    <t>仙台医療センター</t>
    <rPh sb="0" eb="2">
      <t>センダイ</t>
    </rPh>
    <rPh sb="2" eb="4">
      <t>イリョウ</t>
    </rPh>
    <phoneticPr fontId="1"/>
  </si>
  <si>
    <t>東北大学病院</t>
    <rPh sb="0" eb="2">
      <t>トウホク</t>
    </rPh>
    <rPh sb="2" eb="4">
      <t>ダイガク</t>
    </rPh>
    <rPh sb="4" eb="6">
      <t>ビョウイン</t>
    </rPh>
    <phoneticPr fontId="1"/>
  </si>
  <si>
    <t>仙台厚生病院</t>
    <rPh sb="0" eb="2">
      <t>センダイ</t>
    </rPh>
    <rPh sb="2" eb="4">
      <t>コウセイ</t>
    </rPh>
    <rPh sb="4" eb="6">
      <t>ビョウイン</t>
    </rPh>
    <phoneticPr fontId="1"/>
  </si>
  <si>
    <t>仙台赤十字病院</t>
    <rPh sb="0" eb="2">
      <t>センダイ</t>
    </rPh>
    <rPh sb="2" eb="5">
      <t>セキジュウジ</t>
    </rPh>
    <rPh sb="5" eb="7">
      <t>ビョウイン</t>
    </rPh>
    <phoneticPr fontId="1"/>
  </si>
  <si>
    <t>東北労災病院</t>
    <rPh sb="0" eb="2">
      <t>トウホク</t>
    </rPh>
    <rPh sb="2" eb="4">
      <t>ロウサイ</t>
    </rPh>
    <rPh sb="4" eb="6">
      <t>ビョウイン</t>
    </rPh>
    <phoneticPr fontId="1"/>
  </si>
  <si>
    <t>広南病院</t>
    <rPh sb="0" eb="1">
      <t>ヒロ</t>
    </rPh>
    <rPh sb="1" eb="2">
      <t>ミナミ</t>
    </rPh>
    <rPh sb="2" eb="4">
      <t>ビョウイン</t>
    </rPh>
    <phoneticPr fontId="1"/>
  </si>
  <si>
    <t>東北公済病院</t>
    <rPh sb="0" eb="2">
      <t>トウホク</t>
    </rPh>
    <rPh sb="2" eb="3">
      <t>オオヤケ</t>
    </rPh>
    <rPh sb="3" eb="4">
      <t>スミ</t>
    </rPh>
    <rPh sb="4" eb="6">
      <t>ビョウイン</t>
    </rPh>
    <phoneticPr fontId="1"/>
  </si>
  <si>
    <t>東北医科薬科大学病院</t>
    <rPh sb="0" eb="2">
      <t>トウホク</t>
    </rPh>
    <rPh sb="2" eb="4">
      <t>イカ</t>
    </rPh>
    <rPh sb="4" eb="7">
      <t>ヤッカダイ</t>
    </rPh>
    <rPh sb="7" eb="8">
      <t>ガク</t>
    </rPh>
    <rPh sb="8" eb="10">
      <t>ビョウイン</t>
    </rPh>
    <phoneticPr fontId="1"/>
  </si>
  <si>
    <t>イムス明理会仙台総合病院</t>
    <rPh sb="3" eb="4">
      <t>メイ</t>
    </rPh>
    <rPh sb="4" eb="6">
      <t>リカイ</t>
    </rPh>
    <rPh sb="6" eb="8">
      <t>センダイ</t>
    </rPh>
    <rPh sb="8" eb="10">
      <t>ソウゴウ</t>
    </rPh>
    <rPh sb="10" eb="12">
      <t>ビョウイン</t>
    </rPh>
    <phoneticPr fontId="1"/>
  </si>
  <si>
    <t>宮城県立こども病院</t>
    <rPh sb="0" eb="4">
      <t>ミヤギケンリツ</t>
    </rPh>
    <rPh sb="7" eb="9">
      <t>ビョウイン</t>
    </rPh>
    <phoneticPr fontId="1"/>
  </si>
  <si>
    <t>ＪＣＨＯ仙台病院</t>
    <rPh sb="4" eb="6">
      <t>センダイ</t>
    </rPh>
    <rPh sb="6" eb="8">
      <t>ビョウイン</t>
    </rPh>
    <phoneticPr fontId="1"/>
  </si>
  <si>
    <t>中嶋病院</t>
    <rPh sb="0" eb="2">
      <t>ナカジマ</t>
    </rPh>
    <rPh sb="2" eb="4">
      <t>ビョウイン</t>
    </rPh>
    <phoneticPr fontId="1"/>
  </si>
  <si>
    <t>南東北病院</t>
    <rPh sb="0" eb="1">
      <t>ミナミ</t>
    </rPh>
    <rPh sb="1" eb="3">
      <t>トウホク</t>
    </rPh>
    <rPh sb="3" eb="5">
      <t>ビョウイン</t>
    </rPh>
    <phoneticPr fontId="1"/>
  </si>
  <si>
    <t>転送までの平均問合せ件数</t>
    <rPh sb="0" eb="2">
      <t>テンソウ</t>
    </rPh>
    <rPh sb="5" eb="7">
      <t>ヘイキン</t>
    </rPh>
    <rPh sb="7" eb="8">
      <t>ト</t>
    </rPh>
    <rPh sb="8" eb="9">
      <t>ア</t>
    </rPh>
    <rPh sb="10" eb="12">
      <t>ケンスウ</t>
    </rPh>
    <phoneticPr fontId="1"/>
  </si>
  <si>
    <t>転送までの平均時間［分’秒］</t>
    <rPh sb="0" eb="2">
      <t>テンソウ</t>
    </rPh>
    <rPh sb="5" eb="7">
      <t>ヘイキン</t>
    </rPh>
    <rPh sb="7" eb="9">
      <t>ジカン</t>
    </rPh>
    <rPh sb="10" eb="11">
      <t>フン</t>
    </rPh>
    <rPh sb="12" eb="13">
      <t>ビョウ</t>
    </rPh>
    <phoneticPr fontId="1"/>
  </si>
  <si>
    <t>8’03</t>
  </si>
  <si>
    <t>転送先医療機関数</t>
    <rPh sb="0" eb="2">
      <t>テンソウ</t>
    </rPh>
    <rPh sb="2" eb="3">
      <t>サキ</t>
    </rPh>
    <rPh sb="3" eb="5">
      <t>イリョウ</t>
    </rPh>
    <rPh sb="5" eb="7">
      <t>キカン</t>
    </rPh>
    <rPh sb="7" eb="8">
      <t>スウ</t>
    </rPh>
    <phoneticPr fontId="1"/>
  </si>
  <si>
    <t>休日昼間</t>
    <rPh sb="0" eb="2">
      <t>キュウジツ</t>
    </rPh>
    <rPh sb="2" eb="4">
      <t>ヒルマ</t>
    </rPh>
    <phoneticPr fontId="1"/>
  </si>
  <si>
    <t>土曜午後</t>
    <rPh sb="0" eb="2">
      <t>ドヨウ</t>
    </rPh>
    <rPh sb="2" eb="4">
      <t>ゴゴ</t>
    </rPh>
    <phoneticPr fontId="1"/>
  </si>
  <si>
    <t>準夜</t>
    <rPh sb="0" eb="1">
      <t>ジュン</t>
    </rPh>
    <rPh sb="1" eb="2">
      <t>ヨル</t>
    </rPh>
    <phoneticPr fontId="1"/>
  </si>
  <si>
    <t>深夜</t>
    <rPh sb="0" eb="1">
      <t>シン</t>
    </rPh>
    <rPh sb="1" eb="2">
      <t>ヨル</t>
    </rPh>
    <phoneticPr fontId="1"/>
  </si>
  <si>
    <t>内科</t>
    <rPh sb="0" eb="2">
      <t>ナイカ</t>
    </rPh>
    <phoneticPr fontId="1"/>
  </si>
  <si>
    <t>外科</t>
    <rPh sb="0" eb="2">
      <t>ゲカ</t>
    </rPh>
    <phoneticPr fontId="1"/>
  </si>
  <si>
    <t>整形外科</t>
    <rPh sb="0" eb="2">
      <t>セイケイ</t>
    </rPh>
    <rPh sb="2" eb="4">
      <t>ゲカ</t>
    </rPh>
    <phoneticPr fontId="1"/>
  </si>
  <si>
    <t>婦人科</t>
    <rPh sb="0" eb="3">
      <t>フジンカ</t>
    </rPh>
    <phoneticPr fontId="1"/>
  </si>
  <si>
    <t>眼科</t>
    <rPh sb="0" eb="2">
      <t>ガンカ</t>
    </rPh>
    <phoneticPr fontId="1"/>
  </si>
  <si>
    <t>耳鼻咽喉科</t>
    <rPh sb="0" eb="2">
      <t>ジビ</t>
    </rPh>
    <rPh sb="2" eb="4">
      <t>インコウ</t>
    </rPh>
    <rPh sb="4" eb="5">
      <t>カ</t>
    </rPh>
    <phoneticPr fontId="1"/>
  </si>
  <si>
    <t>救急車搬入患者数</t>
    <rPh sb="0" eb="2">
      <t>キュウキュウ</t>
    </rPh>
    <rPh sb="2" eb="3">
      <t>クルマ</t>
    </rPh>
    <rPh sb="3" eb="5">
      <t>ハンニュウ</t>
    </rPh>
    <rPh sb="5" eb="8">
      <t>カンジャスウ</t>
    </rPh>
    <phoneticPr fontId="1"/>
  </si>
  <si>
    <t>休日</t>
    <rPh sb="0" eb="2">
      <t>キュウジツ</t>
    </rPh>
    <phoneticPr fontId="1"/>
  </si>
  <si>
    <t>土曜</t>
    <rPh sb="0" eb="2">
      <t>ドヨウ</t>
    </rPh>
    <phoneticPr fontId="1"/>
  </si>
  <si>
    <t>9’30</t>
    <phoneticPr fontId="11"/>
  </si>
  <si>
    <t>休日夜間歯科診療所</t>
  </si>
  <si>
    <t>二次転送件数</t>
    <rPh sb="0" eb="2">
      <t>ニジ</t>
    </rPh>
    <rPh sb="2" eb="4">
      <t>テンソウ</t>
    </rPh>
    <rPh sb="4" eb="6">
      <t>ケンスウ</t>
    </rPh>
    <phoneticPr fontId="1"/>
  </si>
  <si>
    <t>9’34</t>
  </si>
  <si>
    <t>15’17</t>
  </si>
  <si>
    <t>9’48</t>
  </si>
  <si>
    <t>8’54</t>
  </si>
  <si>
    <t>5’41</t>
  </si>
  <si>
    <t>4’06</t>
  </si>
  <si>
    <t>小児科</t>
    <rPh sb="0" eb="2">
      <t>ショウニ</t>
    </rPh>
    <rPh sb="2" eb="3">
      <t>カ</t>
    </rPh>
    <phoneticPr fontId="1"/>
  </si>
  <si>
    <t>6’53</t>
    <phoneticPr fontId="11"/>
  </si>
  <si>
    <t>東北医科薬科大学若林病院</t>
    <rPh sb="0" eb="2">
      <t>トウホク</t>
    </rPh>
    <rPh sb="2" eb="4">
      <t>イカ</t>
    </rPh>
    <rPh sb="4" eb="7">
      <t>ヤッカダイ</t>
    </rPh>
    <rPh sb="7" eb="8">
      <t>ガク</t>
    </rPh>
    <rPh sb="8" eb="10">
      <t>ワカバヤシ</t>
    </rPh>
    <rPh sb="10" eb="12">
      <t>ビョウイン</t>
    </rPh>
    <phoneticPr fontId="1"/>
  </si>
  <si>
    <t>仙台徳洲会病院</t>
    <rPh sb="0" eb="2">
      <t>センダイ</t>
    </rPh>
    <rPh sb="2" eb="5">
      <t>トクシュウカイ</t>
    </rPh>
    <rPh sb="5" eb="7">
      <t>ビョウイン</t>
    </rPh>
    <phoneticPr fontId="11"/>
  </si>
  <si>
    <t>ＪＲ仙台病院</t>
    <rPh sb="2" eb="4">
      <t>センダイ</t>
    </rPh>
    <rPh sb="4" eb="6">
      <t>ビョウイン</t>
    </rPh>
    <phoneticPr fontId="11"/>
  </si>
  <si>
    <t>泉病院</t>
    <rPh sb="0" eb="1">
      <t>イズミ</t>
    </rPh>
    <rPh sb="1" eb="3">
      <t>ビョウイン</t>
    </rPh>
    <phoneticPr fontId="11"/>
  </si>
  <si>
    <t>7’30</t>
    <phoneticPr fontId="11"/>
  </si>
  <si>
    <t>8’47</t>
    <phoneticPr fontId="11"/>
  </si>
  <si>
    <t>5’56</t>
    <phoneticPr fontId="11"/>
  </si>
  <si>
    <t>9’56</t>
    <phoneticPr fontId="11"/>
  </si>
  <si>
    <t>9’05</t>
    <phoneticPr fontId="11"/>
  </si>
  <si>
    <t>9’34</t>
    <phoneticPr fontId="11"/>
  </si>
  <si>
    <t>8’22</t>
    <phoneticPr fontId="11"/>
  </si>
  <si>
    <t>仙台循環器病センター</t>
    <rPh sb="0" eb="2">
      <t>センダイ</t>
    </rPh>
    <rPh sb="2" eb="5">
      <t>ジュンカンキ</t>
    </rPh>
    <rPh sb="5" eb="6">
      <t>ビョウ</t>
    </rPh>
    <phoneticPr fontId="11"/>
  </si>
  <si>
    <t>東北公済病院</t>
    <rPh sb="0" eb="2">
      <t>トウホク</t>
    </rPh>
    <rPh sb="2" eb="3">
      <t>コウ</t>
    </rPh>
    <rPh sb="3" eb="4">
      <t>スミ</t>
    </rPh>
    <rPh sb="4" eb="6">
      <t>ビョウイン</t>
    </rPh>
    <phoneticPr fontId="11"/>
  </si>
  <si>
    <t>仙台赤十字病院</t>
    <rPh sb="0" eb="2">
      <t>センダイ</t>
    </rPh>
    <rPh sb="2" eb="5">
      <t>セキジュウジ</t>
    </rPh>
    <rPh sb="5" eb="7">
      <t>ビョウイン</t>
    </rPh>
    <phoneticPr fontId="11"/>
  </si>
  <si>
    <t>13’00</t>
    <phoneticPr fontId="11"/>
  </si>
  <si>
    <t>16’17</t>
    <phoneticPr fontId="11"/>
  </si>
  <si>
    <t>7’52</t>
    <phoneticPr fontId="11"/>
  </si>
  <si>
    <t>9’04</t>
    <phoneticPr fontId="11"/>
  </si>
  <si>
    <t>10’00</t>
    <phoneticPr fontId="11"/>
  </si>
  <si>
    <t>6’00</t>
    <phoneticPr fontId="11"/>
  </si>
  <si>
    <t>仙台赤十字病院</t>
    <rPh sb="0" eb="2">
      <t>センダイ</t>
    </rPh>
    <rPh sb="2" eb="7">
      <t>セキジュウジビョウイン</t>
    </rPh>
    <phoneticPr fontId="11"/>
  </si>
  <si>
    <t>光ケ丘スペルマン病院</t>
    <rPh sb="0" eb="3">
      <t>ヒカリガオカ</t>
    </rPh>
    <rPh sb="8" eb="10">
      <t>ビョウイン</t>
    </rPh>
    <phoneticPr fontId="11"/>
  </si>
  <si>
    <t>4’42</t>
    <phoneticPr fontId="11"/>
  </si>
  <si>
    <t>7’24</t>
    <phoneticPr fontId="11"/>
  </si>
  <si>
    <t>6’08</t>
    <phoneticPr fontId="11"/>
  </si>
  <si>
    <t>5’45</t>
    <phoneticPr fontId="11"/>
  </si>
  <si>
    <t>5’48</t>
    <phoneticPr fontId="11"/>
  </si>
  <si>
    <t>5’00</t>
    <phoneticPr fontId="11"/>
  </si>
  <si>
    <t>7’43</t>
    <phoneticPr fontId="11"/>
  </si>
  <si>
    <t>9’27</t>
    <phoneticPr fontId="11"/>
  </si>
  <si>
    <t>10’29</t>
    <phoneticPr fontId="11"/>
  </si>
  <si>
    <t>5’21</t>
    <phoneticPr fontId="11"/>
  </si>
  <si>
    <t>-</t>
    <phoneticPr fontId="11"/>
  </si>
  <si>
    <t>令和6年度</t>
    <rPh sb="0" eb="1">
      <t>レイ</t>
    </rPh>
    <rPh sb="1" eb="2">
      <t>ワ</t>
    </rPh>
    <rPh sb="3" eb="5">
      <t>ネンド</t>
    </rPh>
    <rPh sb="4" eb="5">
      <t>ド</t>
    </rPh>
    <phoneticPr fontId="11"/>
  </si>
  <si>
    <t>第４表-３　令和６年度医療機関別二次転送患者数（こども急病診療所）</t>
    <rPh sb="0" eb="1">
      <t>ダイ</t>
    </rPh>
    <rPh sb="2" eb="3">
      <t>ヒョウ</t>
    </rPh>
    <rPh sb="6" eb="7">
      <t>レイ</t>
    </rPh>
    <rPh sb="7" eb="8">
      <t>ワ</t>
    </rPh>
    <rPh sb="9" eb="11">
      <t>ネンド</t>
    </rPh>
    <rPh sb="11" eb="13">
      <t>イリョウ</t>
    </rPh>
    <rPh sb="13" eb="15">
      <t>キカン</t>
    </rPh>
    <rPh sb="15" eb="16">
      <t>ベツ</t>
    </rPh>
    <rPh sb="16" eb="18">
      <t>ニジ</t>
    </rPh>
    <rPh sb="18" eb="20">
      <t>テンソウ</t>
    </rPh>
    <rPh sb="20" eb="23">
      <t>カンジャスウ</t>
    </rPh>
    <rPh sb="27" eb="32">
      <t>キュウビョウシンリョウジョ</t>
    </rPh>
    <phoneticPr fontId="11"/>
  </si>
  <si>
    <t>第４表-２　令和６年度医療機関別二次転送患者数（北部急患診療所）</t>
    <rPh sb="0" eb="1">
      <t>ダイ</t>
    </rPh>
    <rPh sb="2" eb="3">
      <t>ヒョウ</t>
    </rPh>
    <rPh sb="6" eb="7">
      <t>レイ</t>
    </rPh>
    <rPh sb="7" eb="8">
      <t>ワ</t>
    </rPh>
    <rPh sb="9" eb="11">
      <t>ネンド</t>
    </rPh>
    <rPh sb="11" eb="13">
      <t>イリョウ</t>
    </rPh>
    <rPh sb="13" eb="15">
      <t>キカン</t>
    </rPh>
    <rPh sb="15" eb="16">
      <t>ベツ</t>
    </rPh>
    <rPh sb="16" eb="18">
      <t>ニジ</t>
    </rPh>
    <rPh sb="18" eb="20">
      <t>テンソウ</t>
    </rPh>
    <rPh sb="20" eb="23">
      <t>カンジャスウ</t>
    </rPh>
    <rPh sb="24" eb="26">
      <t>ホクブ</t>
    </rPh>
    <rPh sb="26" eb="28">
      <t>キュウカン</t>
    </rPh>
    <rPh sb="28" eb="31">
      <t>シンリョウジョ</t>
    </rPh>
    <phoneticPr fontId="11"/>
  </si>
  <si>
    <t>第４表-１　令和６年度医療機関別二次転送患者数（急患センター）</t>
    <rPh sb="0" eb="1">
      <t>ダイ</t>
    </rPh>
    <rPh sb="2" eb="3">
      <t>ヒョウ</t>
    </rPh>
    <rPh sb="6" eb="8">
      <t>レイワ</t>
    </rPh>
    <rPh sb="9" eb="11">
      <t>ネンド</t>
    </rPh>
    <rPh sb="11" eb="13">
      <t>ジカン</t>
    </rPh>
    <rPh sb="14" eb="15">
      <t>フン</t>
    </rPh>
    <rPh sb="16" eb="17">
      <t>ビョウ</t>
    </rPh>
    <phoneticPr fontId="11"/>
  </si>
  <si>
    <t>-</t>
    <phoneticPr fontId="11"/>
  </si>
  <si>
    <t>第８表　令和６年度市外からの患者数</t>
    <rPh sb="0" eb="1">
      <t>ダイ</t>
    </rPh>
    <rPh sb="2" eb="3">
      <t>ヒョウ</t>
    </rPh>
    <rPh sb="4" eb="6">
      <t>レイワ</t>
    </rPh>
    <rPh sb="7" eb="8">
      <t>ネン</t>
    </rPh>
    <rPh sb="8" eb="9">
      <t>ド</t>
    </rPh>
    <rPh sb="9" eb="11">
      <t>シガイ</t>
    </rPh>
    <rPh sb="14" eb="17">
      <t>カンジャスウ</t>
    </rPh>
    <phoneticPr fontId="11"/>
  </si>
  <si>
    <t>令和6年度</t>
  </si>
  <si>
    <t>令和5年度</t>
  </si>
  <si>
    <t>参考資料1　休日夜間診療所患者統計（令和6年度）</t>
    <rPh sb="0" eb="2">
      <t>サンコウ</t>
    </rPh>
    <rPh sb="2" eb="4">
      <t>シリョウ</t>
    </rPh>
    <rPh sb="6" eb="13">
      <t>キュウジツヤカンシンリョウジョ</t>
    </rPh>
    <rPh sb="13" eb="15">
      <t>カンジャ</t>
    </rPh>
    <rPh sb="15" eb="17">
      <t>トウケイ</t>
    </rPh>
    <rPh sb="18" eb="20">
      <t>レイワ</t>
    </rPh>
    <rPh sb="21" eb="23">
      <t>ネンド</t>
    </rPh>
    <phoneticPr fontId="11"/>
  </si>
  <si>
    <t>累計
(過去10年）</t>
    <rPh sb="0" eb="2">
      <t>ルイケイ</t>
    </rPh>
    <rPh sb="4" eb="6">
      <t>カコ</t>
    </rPh>
    <rPh sb="8" eb="9">
      <t>ネン</t>
    </rPh>
    <phoneticPr fontId="11"/>
  </si>
  <si>
    <t>累計
（過去10年）</t>
    <rPh sb="0" eb="2">
      <t>ルイケイ</t>
    </rPh>
    <rPh sb="4" eb="6">
      <t>カコ</t>
    </rPh>
    <rPh sb="8" eb="9">
      <t>ネン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</si>
</sst>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176" formatCode="#,##0_ "/>
    <numFmt numFmtId="177" formatCode="#,##0_);[Red]\(#,##0\)"/>
    <numFmt numFmtId="178" formatCode="0.0%"/>
    <numFmt numFmtId="179" formatCode="#,##0;&quot;△ &quot;#,##0"/>
    <numFmt numFmtId="180" formatCode="0;0;"/>
    <numFmt numFmtId="181" formatCode="#,##0&quot;件&quot;;[Red]&quot;△&quot;#,##0&quot;件&quot;"/>
    <numFmt numFmtId="182" formatCode="#,##0;[Red]&quot;△&quot;#,##0"/>
    <numFmt numFmtId="183" formatCode="0.0_);[Red]\(0.0\)"/>
    <numFmt numFmtId="184" formatCode="0_);[Red]\(0\)"/>
    <numFmt numFmtId="185" formatCode="0.0_ "/>
    <numFmt numFmtId="186" formatCode="@&quot;市&quot;"/>
    <numFmt numFmtId="187" formatCode="@&quot;町&quot;"/>
    <numFmt numFmtId="188" formatCode="@&quot;村&quot;"/>
    <numFmt numFmtId="189" formatCode="0.00_);[Red]\(0.00\)"/>
    <numFmt numFmtId="190" formatCode="0.000%"/>
    <numFmt numFmtId="191" formatCode="0;&quot;△ &quot;0"/>
    <numFmt numFmtId="192" formatCode="#,##0&quot;件&quot;;[Black]&quot;△&quot;#,##0&quot;件&quot;"/>
    <numFmt numFmtId="193" formatCode="#,##0;[Black]&quot;△&quot;#,##0"/>
    <numFmt numFmtId="194" formatCode="#,##0_ ;[Red]\-#,##0\ "/>
    <numFmt numFmtId="195" formatCode="#,##0&quot;件&quot;;&quot;△&quot;#,##0&quot;件&quot;"/>
  </numFmts>
  <fonts count="67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8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2"/>
      <name val="ＭＳ Ｐゴシック"/>
      <family val="3"/>
      <charset val="128"/>
    </font>
    <font>
      <sz val="14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20"/>
      <name val="ＭＳ Ｐ明朝"/>
      <family val="1"/>
      <charset val="128"/>
    </font>
    <font>
      <sz val="12"/>
      <name val="HGPｺﾞｼｯｸE"/>
      <family val="3"/>
      <charset val="128"/>
    </font>
    <font>
      <sz val="10"/>
      <name val="HGPｺﾞｼｯｸM"/>
      <family val="3"/>
      <charset val="128"/>
    </font>
    <font>
      <b/>
      <sz val="10"/>
      <name val="ＭＳ Ｐ明朝"/>
      <family val="1"/>
      <charset val="128"/>
    </font>
    <font>
      <sz val="10"/>
      <color theme="0"/>
      <name val="ＭＳ Ｐ明朝"/>
      <family val="1"/>
      <charset val="128"/>
    </font>
    <font>
      <sz val="20"/>
      <name val="ＭＳ Ｐゴシック"/>
      <family val="3"/>
      <charset val="128"/>
    </font>
    <font>
      <sz val="10"/>
      <color rgb="FFFF0000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0"/>
      <name val="HGPｺﾞｼｯｸE"/>
      <family val="3"/>
      <charset val="128"/>
    </font>
    <font>
      <sz val="10"/>
      <name val="ＭＳ 明朝"/>
      <family val="1"/>
      <charset val="128"/>
    </font>
    <font>
      <sz val="9.5"/>
      <name val="HGPｺﾞｼｯｸE"/>
      <family val="3"/>
      <charset val="128"/>
    </font>
    <font>
      <sz val="10"/>
      <name val="HGｺﾞｼｯｸM"/>
      <family val="3"/>
      <charset val="128"/>
    </font>
    <font>
      <b/>
      <sz val="12"/>
      <name val="ＭＳ Ｐゴシック"/>
      <family val="3"/>
      <charset val="128"/>
    </font>
    <font>
      <sz val="13.5"/>
      <name val="ＭＳ 明朝"/>
      <family val="1"/>
      <charset val="128"/>
    </font>
    <font>
      <sz val="11"/>
      <name val="ＭＳ Ｐゴシック"/>
      <family val="3"/>
      <charset val="128"/>
      <scheme val="major"/>
    </font>
    <font>
      <b/>
      <sz val="20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  <scheme val="minor"/>
    </font>
    <font>
      <b/>
      <sz val="20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143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auto="1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</borders>
  <cellStyleXfs count="98">
    <xf numFmtId="176" fontId="0" fillId="0" borderId="0">
      <alignment vertical="center"/>
    </xf>
    <xf numFmtId="0" fontId="22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20" borderId="1" applyNumberFormat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9" fontId="10" fillId="0" borderId="0" applyFont="0" applyFill="0" applyBorder="0" applyAlignment="0" applyProtection="0"/>
    <xf numFmtId="0" fontId="10" fillId="22" borderId="2" applyNumberFormat="0" applyFont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/>
    <xf numFmtId="0" fontId="31" fillId="0" borderId="5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23" borderId="9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7" borderId="4" applyNumberFormat="0" applyAlignment="0" applyProtection="0">
      <alignment vertical="center"/>
    </xf>
    <xf numFmtId="0" fontId="10" fillId="0" borderId="0"/>
    <xf numFmtId="0" fontId="38" fillId="4" borderId="0" applyNumberFormat="0" applyBorder="0" applyAlignment="0" applyProtection="0">
      <alignment vertical="center"/>
    </xf>
    <xf numFmtId="0" fontId="39" fillId="0" borderId="0"/>
    <xf numFmtId="9" fontId="39" fillId="0" borderId="0" applyFont="0" applyFill="0" applyBorder="0" applyAlignment="0" applyProtection="0">
      <alignment vertical="center"/>
    </xf>
    <xf numFmtId="38" fontId="39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6" fontId="10" fillId="0" borderId="0">
      <alignment vertical="center"/>
    </xf>
    <xf numFmtId="0" fontId="9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9" fontId="4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10" fillId="0" borderId="0"/>
    <xf numFmtId="0" fontId="2" fillId="0" borderId="0">
      <alignment vertical="center"/>
    </xf>
    <xf numFmtId="0" fontId="10" fillId="0" borderId="0"/>
    <xf numFmtId="0" fontId="10" fillId="0" borderId="0"/>
    <xf numFmtId="0" fontId="10" fillId="22" borderId="135" applyNumberFormat="0" applyFont="0" applyAlignment="0" applyProtection="0">
      <alignment vertical="center"/>
    </xf>
    <xf numFmtId="0" fontId="29" fillId="23" borderId="136" applyNumberFormat="0" applyAlignment="0" applyProtection="0">
      <alignment vertical="center"/>
    </xf>
    <xf numFmtId="0" fontId="34" fillId="0" borderId="137" applyNumberFormat="0" applyFill="0" applyAlignment="0" applyProtection="0">
      <alignment vertical="center"/>
    </xf>
    <xf numFmtId="0" fontId="35" fillId="23" borderId="138" applyNumberFormat="0" applyAlignment="0" applyProtection="0">
      <alignment vertical="center"/>
    </xf>
    <xf numFmtId="0" fontId="37" fillId="7" borderId="136" applyNumberFormat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661">
    <xf numFmtId="176" fontId="0" fillId="0" borderId="0" xfId="0">
      <alignment vertical="center"/>
    </xf>
    <xf numFmtId="176" fontId="13" fillId="0" borderId="0" xfId="0" applyFont="1">
      <alignment vertical="center"/>
    </xf>
    <xf numFmtId="176" fontId="14" fillId="0" borderId="0" xfId="0" applyFont="1">
      <alignment vertical="center"/>
    </xf>
    <xf numFmtId="176" fontId="15" fillId="0" borderId="0" xfId="0" applyFont="1">
      <alignment vertical="center"/>
    </xf>
    <xf numFmtId="176" fontId="13" fillId="0" borderId="0" xfId="0" applyFont="1" applyAlignment="1">
      <alignment horizontal="center" vertical="center"/>
    </xf>
    <xf numFmtId="176" fontId="13" fillId="0" borderId="0" xfId="0" applyFont="1" applyAlignment="1">
      <alignment horizontal="right" vertical="center"/>
    </xf>
    <xf numFmtId="176" fontId="16" fillId="0" borderId="0" xfId="0" applyFont="1">
      <alignment vertical="center"/>
    </xf>
    <xf numFmtId="176" fontId="16" fillId="0" borderId="0" xfId="0" applyFont="1" applyAlignment="1">
      <alignment horizontal="left" vertical="center"/>
    </xf>
    <xf numFmtId="176" fontId="17" fillId="0" borderId="0" xfId="0" applyFont="1">
      <alignment vertical="center"/>
    </xf>
    <xf numFmtId="176" fontId="18" fillId="0" borderId="0" xfId="0" applyFont="1">
      <alignment vertical="center"/>
    </xf>
    <xf numFmtId="176" fontId="19" fillId="0" borderId="0" xfId="0" applyFont="1">
      <alignment vertical="center"/>
    </xf>
    <xf numFmtId="176" fontId="20" fillId="0" borderId="0" xfId="0" applyFont="1">
      <alignment vertical="center"/>
    </xf>
    <xf numFmtId="176" fontId="14" fillId="0" borderId="0" xfId="0" applyFont="1" applyAlignment="1">
      <alignment horizontal="center" vertical="center"/>
    </xf>
    <xf numFmtId="178" fontId="13" fillId="0" borderId="0" xfId="0" applyNumberFormat="1" applyFont="1" applyAlignment="1">
      <alignment horizontal="center" vertical="center"/>
    </xf>
    <xf numFmtId="178" fontId="13" fillId="0" borderId="0" xfId="0" applyNumberFormat="1" applyFont="1" applyAlignment="1">
      <alignment horizontal="right" vertical="center"/>
    </xf>
    <xf numFmtId="178" fontId="14" fillId="0" borderId="0" xfId="0" applyNumberFormat="1" applyFont="1" applyAlignment="1">
      <alignment horizontal="right" vertical="center"/>
    </xf>
    <xf numFmtId="176" fontId="40" fillId="0" borderId="0" xfId="0" applyFont="1">
      <alignment vertical="center"/>
    </xf>
    <xf numFmtId="176" fontId="40" fillId="0" borderId="0" xfId="0" applyFont="1" applyAlignment="1">
      <alignment horizontal="center" vertical="center"/>
    </xf>
    <xf numFmtId="176" fontId="19" fillId="0" borderId="0" xfId="0" applyFont="1" applyAlignment="1">
      <alignment horizontal="center" vertical="center"/>
    </xf>
    <xf numFmtId="176" fontId="41" fillId="0" borderId="0" xfId="0" applyFont="1">
      <alignment vertical="center"/>
    </xf>
    <xf numFmtId="38" fontId="19" fillId="0" borderId="10" xfId="34" applyFont="1" applyBorder="1" applyAlignment="1">
      <alignment horizontal="right" vertical="center"/>
    </xf>
    <xf numFmtId="176" fontId="20" fillId="0" borderId="10" xfId="0" applyFont="1" applyBorder="1" applyAlignment="1">
      <alignment horizontal="center" vertical="center"/>
    </xf>
    <xf numFmtId="38" fontId="19" fillId="0" borderId="60" xfId="34" applyFont="1" applyBorder="1">
      <alignment vertical="center"/>
    </xf>
    <xf numFmtId="38" fontId="19" fillId="0" borderId="62" xfId="34" applyFont="1" applyBorder="1">
      <alignment vertical="center"/>
    </xf>
    <xf numFmtId="176" fontId="20" fillId="0" borderId="10" xfId="0" applyFont="1" applyBorder="1" applyAlignment="1">
      <alignment horizontal="center" vertical="center" wrapText="1"/>
    </xf>
    <xf numFmtId="38" fontId="19" fillId="0" borderId="10" xfId="34" applyFont="1" applyBorder="1">
      <alignment vertical="center"/>
    </xf>
    <xf numFmtId="176" fontId="19" fillId="0" borderId="10" xfId="0" applyFont="1" applyBorder="1">
      <alignment vertical="center"/>
    </xf>
    <xf numFmtId="38" fontId="19" fillId="0" borderId="11" xfId="34" applyFont="1" applyBorder="1" applyAlignment="1">
      <alignment horizontal="right" vertical="center"/>
    </xf>
    <xf numFmtId="38" fontId="19" fillId="0" borderId="60" xfId="34" applyFont="1" applyBorder="1" applyAlignment="1">
      <alignment horizontal="right" vertical="center"/>
    </xf>
    <xf numFmtId="176" fontId="17" fillId="0" borderId="0" xfId="56" applyFont="1">
      <alignment vertical="center"/>
    </xf>
    <xf numFmtId="178" fontId="19" fillId="0" borderId="0" xfId="56" applyNumberFormat="1" applyFont="1">
      <alignment vertical="center"/>
    </xf>
    <xf numFmtId="178" fontId="19" fillId="0" borderId="15" xfId="56" applyNumberFormat="1" applyFont="1" applyBorder="1">
      <alignment vertical="center"/>
    </xf>
    <xf numFmtId="178" fontId="19" fillId="0" borderId="22" xfId="56" applyNumberFormat="1" applyFont="1" applyBorder="1">
      <alignment vertical="center"/>
    </xf>
    <xf numFmtId="178" fontId="19" fillId="0" borderId="10" xfId="56" applyNumberFormat="1" applyFont="1" applyBorder="1">
      <alignment vertical="center"/>
    </xf>
    <xf numFmtId="178" fontId="19" fillId="0" borderId="20" xfId="56" applyNumberFormat="1" applyFont="1" applyBorder="1">
      <alignment vertical="center"/>
    </xf>
    <xf numFmtId="178" fontId="19" fillId="0" borderId="13" xfId="56" applyNumberFormat="1" applyFont="1" applyBorder="1" applyAlignment="1">
      <alignment horizontal="center" vertical="center"/>
    </xf>
    <xf numFmtId="178" fontId="19" fillId="0" borderId="42" xfId="56" applyNumberFormat="1" applyFont="1" applyBorder="1">
      <alignment vertical="center"/>
    </xf>
    <xf numFmtId="178" fontId="19" fillId="0" borderId="22" xfId="56" applyNumberFormat="1" applyFont="1" applyBorder="1" applyAlignment="1">
      <alignment horizontal="right" vertical="center"/>
    </xf>
    <xf numFmtId="178" fontId="19" fillId="0" borderId="15" xfId="56" applyNumberFormat="1" applyFont="1" applyBorder="1" applyAlignment="1">
      <alignment horizontal="right" vertical="center"/>
    </xf>
    <xf numFmtId="178" fontId="19" fillId="0" borderId="10" xfId="56" applyNumberFormat="1" applyFont="1" applyBorder="1" applyAlignment="1">
      <alignment horizontal="right" vertical="center"/>
    </xf>
    <xf numFmtId="178" fontId="19" fillId="0" borderId="42" xfId="56" applyNumberFormat="1" applyFont="1" applyBorder="1" applyAlignment="1">
      <alignment horizontal="right" vertical="center"/>
    </xf>
    <xf numFmtId="178" fontId="19" fillId="0" borderId="12" xfId="56" applyNumberFormat="1" applyFont="1" applyBorder="1" applyAlignment="1">
      <alignment horizontal="right" vertical="center"/>
    </xf>
    <xf numFmtId="178" fontId="19" fillId="0" borderId="13" xfId="56" applyNumberFormat="1" applyFont="1" applyBorder="1" applyAlignment="1">
      <alignment horizontal="center" vertical="center" wrapText="1"/>
    </xf>
    <xf numFmtId="176" fontId="19" fillId="0" borderId="0" xfId="56" applyFont="1">
      <alignment vertical="center"/>
    </xf>
    <xf numFmtId="176" fontId="19" fillId="0" borderId="0" xfId="56" applyFont="1" applyAlignment="1">
      <alignment horizontal="right" vertical="center"/>
    </xf>
    <xf numFmtId="38" fontId="19" fillId="0" borderId="15" xfId="68" applyFont="1" applyBorder="1" applyAlignment="1">
      <alignment horizontal="right" vertical="center"/>
    </xf>
    <xf numFmtId="176" fontId="19" fillId="0" borderId="26" xfId="56" applyFont="1" applyBorder="1" applyAlignment="1">
      <alignment horizontal="center" vertical="center" wrapText="1"/>
    </xf>
    <xf numFmtId="178" fontId="19" fillId="0" borderId="15" xfId="56" applyNumberFormat="1" applyFont="1" applyBorder="1" applyAlignment="1">
      <alignment horizontal="center" vertical="center"/>
    </xf>
    <xf numFmtId="178" fontId="19" fillId="0" borderId="0" xfId="56" applyNumberFormat="1" applyFont="1" applyAlignment="1">
      <alignment horizontal="right" vertical="center"/>
    </xf>
    <xf numFmtId="176" fontId="19" fillId="0" borderId="26" xfId="56" applyFont="1" applyBorder="1" applyAlignment="1">
      <alignment horizontal="center" vertical="center"/>
    </xf>
    <xf numFmtId="180" fontId="19" fillId="0" borderId="0" xfId="56" applyNumberFormat="1" applyFont="1">
      <alignment vertical="center"/>
    </xf>
    <xf numFmtId="176" fontId="20" fillId="0" borderId="25" xfId="56" applyFont="1" applyBorder="1" applyAlignment="1">
      <alignment horizontal="center" vertical="center"/>
    </xf>
    <xf numFmtId="176" fontId="20" fillId="0" borderId="23" xfId="56" applyFont="1" applyBorder="1" applyAlignment="1">
      <alignment horizontal="center" vertical="center"/>
    </xf>
    <xf numFmtId="176" fontId="20" fillId="0" borderId="21" xfId="56" applyFont="1" applyBorder="1" applyAlignment="1">
      <alignment horizontal="center" vertical="center"/>
    </xf>
    <xf numFmtId="176" fontId="20" fillId="0" borderId="24" xfId="56" applyFont="1" applyBorder="1" applyAlignment="1">
      <alignment horizontal="center" vertical="center"/>
    </xf>
    <xf numFmtId="176" fontId="20" fillId="0" borderId="34" xfId="56" applyFont="1" applyBorder="1" applyAlignment="1">
      <alignment horizontal="center" vertical="center"/>
    </xf>
    <xf numFmtId="176" fontId="17" fillId="0" borderId="25" xfId="56" applyFont="1" applyBorder="1" applyAlignment="1">
      <alignment horizontal="center" vertical="center"/>
    </xf>
    <xf numFmtId="176" fontId="20" fillId="0" borderId="23" xfId="56" applyFont="1" applyBorder="1" applyAlignment="1">
      <alignment horizontal="center" vertical="center" wrapText="1"/>
    </xf>
    <xf numFmtId="176" fontId="20" fillId="0" borderId="21" xfId="56" applyFont="1" applyBorder="1" applyAlignment="1">
      <alignment horizontal="center" vertical="center" wrapText="1"/>
    </xf>
    <xf numFmtId="176" fontId="20" fillId="0" borderId="25" xfId="56" applyFont="1" applyBorder="1" applyAlignment="1">
      <alignment horizontal="center" vertical="center" wrapText="1"/>
    </xf>
    <xf numFmtId="176" fontId="17" fillId="0" borderId="44" xfId="56" applyFont="1" applyBorder="1" applyAlignment="1">
      <alignment horizontal="center" vertical="center"/>
    </xf>
    <xf numFmtId="176" fontId="19" fillId="0" borderId="25" xfId="56" applyFont="1" applyBorder="1" applyAlignment="1">
      <alignment horizontal="center" vertical="center" wrapText="1"/>
    </xf>
    <xf numFmtId="176" fontId="19" fillId="0" borderId="21" xfId="56" applyFont="1" applyBorder="1" applyAlignment="1">
      <alignment horizontal="center" vertical="center" wrapText="1"/>
    </xf>
    <xf numFmtId="176" fontId="19" fillId="0" borderId="44" xfId="56" applyFont="1" applyBorder="1" applyAlignment="1">
      <alignment horizontal="center" vertical="center" wrapText="1"/>
    </xf>
    <xf numFmtId="176" fontId="19" fillId="0" borderId="23" xfId="56" applyFont="1" applyBorder="1" applyAlignment="1">
      <alignment horizontal="center" vertical="center" wrapText="1"/>
    </xf>
    <xf numFmtId="176" fontId="19" fillId="0" borderId="34" xfId="56" applyFont="1" applyBorder="1" applyAlignment="1">
      <alignment horizontal="center" vertical="center" wrapText="1"/>
    </xf>
    <xf numFmtId="38" fontId="19" fillId="0" borderId="22" xfId="34" applyFont="1" applyBorder="1" applyAlignment="1">
      <alignment horizontal="right" vertical="center"/>
    </xf>
    <xf numFmtId="38" fontId="19" fillId="0" borderId="46" xfId="34" applyFont="1" applyBorder="1" applyAlignment="1">
      <alignment horizontal="right" vertical="center"/>
    </xf>
    <xf numFmtId="38" fontId="19" fillId="0" borderId="26" xfId="34" applyFont="1" applyBorder="1" applyAlignment="1">
      <alignment horizontal="right" vertical="center"/>
    </xf>
    <xf numFmtId="38" fontId="19" fillId="0" borderId="13" xfId="34" applyFont="1" applyBorder="1" applyAlignment="1">
      <alignment horizontal="right" vertical="center"/>
    </xf>
    <xf numFmtId="38" fontId="19" fillId="0" borderId="43" xfId="34" applyFont="1" applyBorder="1" applyAlignment="1">
      <alignment horizontal="right" vertical="center"/>
    </xf>
    <xf numFmtId="38" fontId="19" fillId="0" borderId="28" xfId="34" applyFont="1" applyBorder="1" applyAlignment="1">
      <alignment horizontal="right" vertical="center"/>
    </xf>
    <xf numFmtId="38" fontId="19" fillId="0" borderId="42" xfId="34" applyFont="1" applyBorder="1" applyAlignment="1">
      <alignment horizontal="right" vertical="center"/>
    </xf>
    <xf numFmtId="38" fontId="19" fillId="0" borderId="12" xfId="34" applyFont="1" applyBorder="1" applyAlignment="1">
      <alignment horizontal="right" vertical="center"/>
    </xf>
    <xf numFmtId="38" fontId="19" fillId="0" borderId="46" xfId="34" applyFont="1" applyBorder="1">
      <alignment vertical="center"/>
    </xf>
    <xf numFmtId="38" fontId="19" fillId="0" borderId="11" xfId="34" applyFont="1" applyBorder="1">
      <alignment vertical="center"/>
    </xf>
    <xf numFmtId="38" fontId="19" fillId="0" borderId="26" xfId="34" applyFont="1" applyBorder="1">
      <alignment vertical="center"/>
    </xf>
    <xf numFmtId="38" fontId="19" fillId="0" borderId="43" xfId="34" applyFont="1" applyBorder="1">
      <alignment vertical="center"/>
    </xf>
    <xf numFmtId="38" fontId="19" fillId="0" borderId="28" xfId="34" applyFont="1" applyBorder="1">
      <alignment vertical="center"/>
    </xf>
    <xf numFmtId="38" fontId="19" fillId="0" borderId="22" xfId="34" applyFont="1" applyBorder="1">
      <alignment vertical="center"/>
    </xf>
    <xf numFmtId="38" fontId="19" fillId="0" borderId="13" xfId="34" applyFont="1" applyBorder="1">
      <alignment vertical="center"/>
    </xf>
    <xf numFmtId="38" fontId="19" fillId="0" borderId="12" xfId="34" applyFont="1" applyBorder="1">
      <alignment vertical="center"/>
    </xf>
    <xf numFmtId="38" fontId="19" fillId="0" borderId="35" xfId="34" applyFont="1" applyBorder="1">
      <alignment vertical="center"/>
    </xf>
    <xf numFmtId="38" fontId="19" fillId="0" borderId="15" xfId="34" applyFont="1" applyBorder="1">
      <alignment vertical="center"/>
    </xf>
    <xf numFmtId="38" fontId="19" fillId="0" borderId="22" xfId="34" applyFont="1" applyFill="1" applyBorder="1">
      <alignment vertical="center"/>
    </xf>
    <xf numFmtId="38" fontId="19" fillId="0" borderId="10" xfId="34" applyFont="1" applyFill="1" applyBorder="1">
      <alignment vertical="center"/>
    </xf>
    <xf numFmtId="38" fontId="19" fillId="0" borderId="12" xfId="34" applyFont="1" applyFill="1" applyBorder="1">
      <alignment vertical="center"/>
    </xf>
    <xf numFmtId="176" fontId="17" fillId="0" borderId="13" xfId="0" applyFont="1" applyBorder="1" applyAlignment="1">
      <alignment horizontal="center" vertical="center"/>
    </xf>
    <xf numFmtId="176" fontId="17" fillId="0" borderId="36" xfId="0" applyFont="1" applyBorder="1" applyAlignment="1">
      <alignment horizontal="center" vertical="center"/>
    </xf>
    <xf numFmtId="176" fontId="17" fillId="0" borderId="10" xfId="0" applyFont="1" applyBorder="1" applyAlignment="1">
      <alignment horizontal="center" vertical="center"/>
    </xf>
    <xf numFmtId="176" fontId="17" fillId="0" borderId="12" xfId="0" applyFont="1" applyBorder="1" applyAlignment="1">
      <alignment horizontal="center" vertical="center"/>
    </xf>
    <xf numFmtId="176" fontId="44" fillId="0" borderId="0" xfId="0" applyFont="1">
      <alignment vertical="center"/>
    </xf>
    <xf numFmtId="176" fontId="45" fillId="0" borderId="0" xfId="0" applyFont="1">
      <alignment vertical="center"/>
    </xf>
    <xf numFmtId="176" fontId="19" fillId="0" borderId="74" xfId="0" applyFont="1" applyBorder="1" applyAlignment="1">
      <alignment horizontal="center" vertical="center"/>
    </xf>
    <xf numFmtId="176" fontId="19" fillId="0" borderId="75" xfId="0" applyFont="1" applyBorder="1" applyAlignment="1">
      <alignment horizontal="center" vertical="center"/>
    </xf>
    <xf numFmtId="176" fontId="21" fillId="0" borderId="75" xfId="0" applyFont="1" applyBorder="1" applyAlignment="1">
      <alignment horizontal="left" vertical="center" wrapText="1"/>
    </xf>
    <xf numFmtId="176" fontId="20" fillId="0" borderId="75" xfId="0" applyFont="1" applyBorder="1" applyAlignment="1">
      <alignment horizontal="center" vertical="center"/>
    </xf>
    <xf numFmtId="176" fontId="19" fillId="0" borderId="79" xfId="0" applyFont="1" applyBorder="1" applyAlignment="1">
      <alignment horizontal="center" vertical="center" shrinkToFit="1"/>
    </xf>
    <xf numFmtId="38" fontId="19" fillId="0" borderId="80" xfId="34" applyFont="1" applyFill="1" applyBorder="1" applyAlignment="1">
      <alignment vertical="center" shrinkToFit="1"/>
    </xf>
    <xf numFmtId="38" fontId="19" fillId="0" borderId="81" xfId="34" applyFont="1" applyFill="1" applyBorder="1" applyAlignment="1">
      <alignment vertical="center" shrinkToFit="1"/>
    </xf>
    <xf numFmtId="38" fontId="19" fillId="0" borderId="82" xfId="34" applyFont="1" applyFill="1" applyBorder="1" applyAlignment="1">
      <alignment vertical="center" shrinkToFit="1"/>
    </xf>
    <xf numFmtId="38" fontId="19" fillId="0" borderId="83" xfId="34" applyFont="1" applyFill="1" applyBorder="1" applyAlignment="1">
      <alignment vertical="center" shrinkToFit="1"/>
    </xf>
    <xf numFmtId="38" fontId="19" fillId="0" borderId="84" xfId="34" applyFont="1" applyFill="1" applyBorder="1" applyAlignment="1">
      <alignment vertical="center" shrinkToFit="1"/>
    </xf>
    <xf numFmtId="176" fontId="19" fillId="0" borderId="85" xfId="0" applyFont="1" applyBorder="1" applyAlignment="1">
      <alignment horizontal="center" vertical="center" shrinkToFit="1"/>
    </xf>
    <xf numFmtId="38" fontId="19" fillId="0" borderId="86" xfId="34" applyFont="1" applyFill="1" applyBorder="1" applyAlignment="1">
      <alignment vertical="center" shrinkToFit="1"/>
    </xf>
    <xf numFmtId="38" fontId="19" fillId="0" borderId="40" xfId="34" applyFont="1" applyFill="1" applyBorder="1" applyAlignment="1">
      <alignment vertical="center" shrinkToFit="1"/>
    </xf>
    <xf numFmtId="38" fontId="19" fillId="0" borderId="87" xfId="34" applyFont="1" applyFill="1" applyBorder="1" applyAlignment="1">
      <alignment vertical="center" shrinkToFit="1"/>
    </xf>
    <xf numFmtId="38" fontId="19" fillId="0" borderId="69" xfId="34" applyFont="1" applyFill="1" applyBorder="1" applyAlignment="1">
      <alignment vertical="center" shrinkToFit="1"/>
    </xf>
    <xf numFmtId="180" fontId="19" fillId="0" borderId="86" xfId="34" applyNumberFormat="1" applyFont="1" applyFill="1" applyBorder="1" applyAlignment="1">
      <alignment vertical="center" shrinkToFit="1"/>
    </xf>
    <xf numFmtId="180" fontId="19" fillId="0" borderId="40" xfId="34" applyNumberFormat="1" applyFont="1" applyFill="1" applyBorder="1" applyAlignment="1">
      <alignment vertical="center" shrinkToFit="1"/>
    </xf>
    <xf numFmtId="180" fontId="19" fillId="0" borderId="87" xfId="34" applyNumberFormat="1" applyFont="1" applyFill="1" applyBorder="1" applyAlignment="1">
      <alignment vertical="center" shrinkToFit="1"/>
    </xf>
    <xf numFmtId="176" fontId="19" fillId="0" borderId="89" xfId="0" applyFont="1" applyBorder="1" applyAlignment="1">
      <alignment horizontal="center" vertical="center" shrinkToFit="1"/>
    </xf>
    <xf numFmtId="38" fontId="19" fillId="0" borderId="67" xfId="34" applyFont="1" applyBorder="1" applyAlignment="1">
      <alignment vertical="center" shrinkToFit="1"/>
    </xf>
    <xf numFmtId="38" fontId="19" fillId="0" borderId="64" xfId="34" applyFont="1" applyBorder="1" applyAlignment="1">
      <alignment vertical="center" shrinkToFit="1"/>
    </xf>
    <xf numFmtId="38" fontId="19" fillId="0" borderId="64" xfId="34" applyFont="1" applyFill="1" applyBorder="1" applyAlignment="1">
      <alignment vertical="center" shrinkToFit="1"/>
    </xf>
    <xf numFmtId="38" fontId="19" fillId="0" borderId="65" xfId="34" applyFont="1" applyFill="1" applyBorder="1" applyAlignment="1">
      <alignment vertical="center" shrinkToFit="1"/>
    </xf>
    <xf numFmtId="38" fontId="19" fillId="0" borderId="63" xfId="34" applyFont="1" applyFill="1" applyBorder="1" applyAlignment="1">
      <alignment vertical="center" shrinkToFit="1"/>
    </xf>
    <xf numFmtId="38" fontId="19" fillId="0" borderId="66" xfId="34" applyFont="1" applyFill="1" applyBorder="1" applyAlignment="1">
      <alignment vertical="center" shrinkToFit="1"/>
    </xf>
    <xf numFmtId="38" fontId="19" fillId="0" borderId="67" xfId="34" applyFont="1" applyFill="1" applyBorder="1" applyAlignment="1">
      <alignment vertical="center" shrinkToFit="1"/>
    </xf>
    <xf numFmtId="176" fontId="19" fillId="0" borderId="90" xfId="0" applyFont="1" applyBorder="1" applyAlignment="1">
      <alignment horizontal="center" vertical="center" shrinkToFit="1"/>
    </xf>
    <xf numFmtId="178" fontId="19" fillId="0" borderId="91" xfId="0" applyNumberFormat="1" applyFont="1" applyBorder="1" applyAlignment="1">
      <alignment vertical="center" shrinkToFit="1"/>
    </xf>
    <xf numFmtId="178" fontId="19" fillId="0" borderId="75" xfId="0" applyNumberFormat="1" applyFont="1" applyBorder="1" applyAlignment="1">
      <alignment vertical="center" shrinkToFit="1"/>
    </xf>
    <xf numFmtId="178" fontId="19" fillId="0" borderId="92" xfId="0" applyNumberFormat="1" applyFont="1" applyBorder="1" applyAlignment="1">
      <alignment vertical="center" shrinkToFit="1"/>
    </xf>
    <xf numFmtId="178" fontId="19" fillId="0" borderId="74" xfId="0" applyNumberFormat="1" applyFont="1" applyBorder="1" applyAlignment="1">
      <alignment vertical="center" shrinkToFit="1"/>
    </xf>
    <xf numFmtId="178" fontId="19" fillId="0" borderId="93" xfId="0" applyNumberFormat="1" applyFont="1" applyBorder="1" applyAlignment="1">
      <alignment vertical="center" shrinkToFit="1"/>
    </xf>
    <xf numFmtId="176" fontId="46" fillId="0" borderId="0" xfId="0" applyFont="1">
      <alignment vertical="center"/>
    </xf>
    <xf numFmtId="176" fontId="19" fillId="0" borderId="0" xfId="0" applyFont="1" applyAlignment="1">
      <alignment horizontal="right" vertical="center"/>
    </xf>
    <xf numFmtId="176" fontId="20" fillId="0" borderId="75" xfId="0" applyFont="1" applyBorder="1" applyAlignment="1">
      <alignment horizontal="left" vertical="center"/>
    </xf>
    <xf numFmtId="176" fontId="47" fillId="0" borderId="75" xfId="0" applyFont="1" applyBorder="1" applyAlignment="1">
      <alignment horizontal="center" vertical="center"/>
    </xf>
    <xf numFmtId="176" fontId="21" fillId="0" borderId="75" xfId="0" applyFont="1" applyBorder="1" applyAlignment="1">
      <alignment horizontal="left" vertical="center"/>
    </xf>
    <xf numFmtId="176" fontId="20" fillId="0" borderId="74" xfId="0" applyFont="1" applyBorder="1" applyAlignment="1">
      <alignment horizontal="left" vertical="center"/>
    </xf>
    <xf numFmtId="176" fontId="19" fillId="0" borderId="61" xfId="0" applyFont="1" applyBorder="1" applyAlignment="1">
      <alignment horizontal="center" vertical="center" shrinkToFit="1"/>
    </xf>
    <xf numFmtId="176" fontId="19" fillId="0" borderId="60" xfId="0" applyFont="1" applyBorder="1" applyAlignment="1">
      <alignment horizontal="center" vertical="center" shrinkToFit="1"/>
    </xf>
    <xf numFmtId="176" fontId="19" fillId="0" borderId="59" xfId="0" applyFont="1" applyBorder="1" applyAlignment="1">
      <alignment horizontal="center" vertical="center" shrinkToFit="1"/>
    </xf>
    <xf numFmtId="176" fontId="15" fillId="0" borderId="0" xfId="0" applyFont="1" applyAlignment="1">
      <alignment horizontal="center" vertical="center"/>
    </xf>
    <xf numFmtId="176" fontId="48" fillId="0" borderId="0" xfId="0" applyFont="1">
      <alignment vertical="center"/>
    </xf>
    <xf numFmtId="176" fontId="17" fillId="0" borderId="49" xfId="0" applyFont="1" applyBorder="1">
      <alignment vertical="center"/>
    </xf>
    <xf numFmtId="176" fontId="19" fillId="0" borderId="89" xfId="0" applyFont="1" applyBorder="1" applyAlignment="1">
      <alignment horizontal="center" vertical="center"/>
    </xf>
    <xf numFmtId="38" fontId="19" fillId="0" borderId="59" xfId="34" applyFont="1" applyBorder="1" applyAlignment="1">
      <alignment vertical="center"/>
    </xf>
    <xf numFmtId="38" fontId="19" fillId="0" borderId="89" xfId="34" applyFont="1" applyBorder="1" applyAlignment="1">
      <alignment vertical="center"/>
    </xf>
    <xf numFmtId="38" fontId="19" fillId="0" borderId="94" xfId="34" applyFont="1" applyBorder="1" applyAlignment="1">
      <alignment vertical="center"/>
    </xf>
    <xf numFmtId="38" fontId="19" fillId="0" borderId="95" xfId="34" applyFont="1" applyBorder="1" applyAlignment="1">
      <alignment vertical="center"/>
    </xf>
    <xf numFmtId="176" fontId="19" fillId="0" borderId="85" xfId="0" applyFont="1" applyBorder="1" applyAlignment="1">
      <alignment horizontal="center" vertical="center"/>
    </xf>
    <xf numFmtId="38" fontId="19" fillId="0" borderId="60" xfId="34" applyFont="1" applyBorder="1" applyAlignment="1">
      <alignment vertical="center"/>
    </xf>
    <xf numFmtId="38" fontId="19" fillId="0" borderId="85" xfId="34" applyFont="1" applyBorder="1" applyAlignment="1">
      <alignment vertical="center"/>
    </xf>
    <xf numFmtId="38" fontId="19" fillId="0" borderId="68" xfId="34" applyFont="1" applyBorder="1" applyAlignment="1">
      <alignment vertical="center"/>
    </xf>
    <xf numFmtId="38" fontId="19" fillId="0" borderId="96" xfId="34" applyFont="1" applyBorder="1" applyAlignment="1">
      <alignment vertical="center"/>
    </xf>
    <xf numFmtId="176" fontId="17" fillId="0" borderId="49" xfId="0" applyFont="1" applyBorder="1" applyAlignment="1">
      <alignment horizontal="center" vertical="center"/>
    </xf>
    <xf numFmtId="176" fontId="19" fillId="0" borderId="90" xfId="0" applyFont="1" applyBorder="1" applyAlignment="1">
      <alignment horizontal="center" vertical="center"/>
    </xf>
    <xf numFmtId="38" fontId="19" fillId="0" borderId="73" xfId="34" applyFont="1" applyBorder="1" applyAlignment="1">
      <alignment vertical="center"/>
    </xf>
    <xf numFmtId="38" fontId="19" fillId="0" borderId="97" xfId="34" applyFont="1" applyBorder="1" applyAlignment="1">
      <alignment vertical="center"/>
    </xf>
    <xf numFmtId="38" fontId="19" fillId="0" borderId="98" xfId="34" applyFont="1" applyBorder="1" applyAlignment="1">
      <alignment vertical="center"/>
    </xf>
    <xf numFmtId="176" fontId="19" fillId="0" borderId="79" xfId="0" applyFont="1" applyBorder="1" applyAlignment="1">
      <alignment horizontal="center" vertical="center"/>
    </xf>
    <xf numFmtId="38" fontId="19" fillId="0" borderId="61" xfId="34" applyFont="1" applyBorder="1" applyAlignment="1">
      <alignment vertical="center"/>
    </xf>
    <xf numFmtId="38" fontId="19" fillId="0" borderId="79" xfId="34" applyFont="1" applyBorder="1" applyAlignment="1">
      <alignment vertical="center"/>
    </xf>
    <xf numFmtId="38" fontId="19" fillId="0" borderId="99" xfId="34" applyFont="1" applyBorder="1" applyAlignment="1">
      <alignment vertical="center"/>
    </xf>
    <xf numFmtId="38" fontId="19" fillId="0" borderId="100" xfId="34" applyFont="1" applyBorder="1" applyAlignment="1">
      <alignment vertical="center"/>
    </xf>
    <xf numFmtId="176" fontId="17" fillId="0" borderId="14" xfId="0" applyFont="1" applyBorder="1">
      <alignment vertical="center"/>
    </xf>
    <xf numFmtId="176" fontId="17" fillId="0" borderId="11" xfId="0" applyFont="1" applyBorder="1">
      <alignment vertical="center"/>
    </xf>
    <xf numFmtId="176" fontId="19" fillId="0" borderId="101" xfId="0" applyFont="1" applyBorder="1" applyAlignment="1">
      <alignment horizontal="center" vertical="center"/>
    </xf>
    <xf numFmtId="38" fontId="19" fillId="0" borderId="102" xfId="34" applyFont="1" applyBorder="1" applyAlignment="1">
      <alignment vertical="center"/>
    </xf>
    <xf numFmtId="38" fontId="19" fillId="0" borderId="103" xfId="34" applyFont="1" applyBorder="1" applyAlignment="1">
      <alignment vertical="center"/>
    </xf>
    <xf numFmtId="38" fontId="19" fillId="0" borderId="104" xfId="34" applyFont="1" applyBorder="1" applyAlignment="1">
      <alignment vertical="center"/>
    </xf>
    <xf numFmtId="38" fontId="19" fillId="0" borderId="29" xfId="34" applyFont="1" applyBorder="1">
      <alignment vertical="center"/>
    </xf>
    <xf numFmtId="178" fontId="19" fillId="0" borderId="10" xfId="34" applyNumberFormat="1" applyFont="1" applyBorder="1">
      <alignment vertical="center"/>
    </xf>
    <xf numFmtId="178" fontId="19" fillId="0" borderId="12" xfId="34" applyNumberFormat="1" applyFont="1" applyBorder="1">
      <alignment vertical="center"/>
    </xf>
    <xf numFmtId="9" fontId="19" fillId="0" borderId="12" xfId="34" applyNumberFormat="1" applyFont="1" applyBorder="1">
      <alignment vertical="center"/>
    </xf>
    <xf numFmtId="176" fontId="43" fillId="0" borderId="0" xfId="0" applyFont="1">
      <alignment vertical="center"/>
    </xf>
    <xf numFmtId="176" fontId="19" fillId="0" borderId="36" xfId="0" applyFont="1" applyBorder="1" applyAlignment="1">
      <alignment horizontal="center" vertical="center" wrapText="1"/>
    </xf>
    <xf numFmtId="176" fontId="19" fillId="0" borderId="42" xfId="0" applyFont="1" applyBorder="1" applyAlignment="1">
      <alignment horizontal="center" vertical="center"/>
    </xf>
    <xf numFmtId="186" fontId="19" fillId="0" borderId="12" xfId="0" applyNumberFormat="1" applyFont="1" applyBorder="1" applyAlignment="1">
      <alignment horizontal="center" vertical="center"/>
    </xf>
    <xf numFmtId="186" fontId="20" fillId="0" borderId="12" xfId="0" applyNumberFormat="1" applyFont="1" applyBorder="1" applyAlignment="1">
      <alignment horizontal="center" vertical="center"/>
    </xf>
    <xf numFmtId="187" fontId="19" fillId="0" borderId="12" xfId="0" applyNumberFormat="1" applyFont="1" applyBorder="1" applyAlignment="1">
      <alignment horizontal="center" vertical="center"/>
    </xf>
    <xf numFmtId="188" fontId="19" fillId="0" borderId="12" xfId="0" applyNumberFormat="1" applyFont="1" applyBorder="1" applyAlignment="1">
      <alignment horizontal="center" vertical="center"/>
    </xf>
    <xf numFmtId="176" fontId="19" fillId="0" borderId="15" xfId="0" applyFont="1" applyBorder="1" applyAlignment="1">
      <alignment horizontal="center" vertical="center" wrapText="1"/>
    </xf>
    <xf numFmtId="176" fontId="19" fillId="0" borderId="12" xfId="0" applyFont="1" applyBorder="1" applyAlignment="1">
      <alignment horizontal="center" vertical="center"/>
    </xf>
    <xf numFmtId="176" fontId="19" fillId="0" borderId="11" xfId="0" applyFont="1" applyBorder="1" applyAlignment="1">
      <alignment horizontal="center" vertical="center"/>
    </xf>
    <xf numFmtId="176" fontId="19" fillId="0" borderId="10" xfId="0" applyFont="1" applyBorder="1" applyAlignment="1">
      <alignment horizontal="center" vertical="center"/>
    </xf>
    <xf numFmtId="38" fontId="19" fillId="0" borderId="36" xfId="34" applyFont="1" applyBorder="1">
      <alignment vertical="center"/>
    </xf>
    <xf numFmtId="176" fontId="19" fillId="0" borderId="21" xfId="0" applyFont="1" applyBorder="1" applyAlignment="1">
      <alignment horizontal="center" vertical="center"/>
    </xf>
    <xf numFmtId="38" fontId="19" fillId="0" borderId="105" xfId="34" applyFont="1" applyBorder="1">
      <alignment vertical="center"/>
    </xf>
    <xf numFmtId="38" fontId="19" fillId="0" borderId="44" xfId="34" applyFont="1" applyBorder="1">
      <alignment vertical="center"/>
    </xf>
    <xf numFmtId="38" fontId="19" fillId="0" borderId="34" xfId="34" applyFont="1" applyBorder="1">
      <alignment vertical="center"/>
    </xf>
    <xf numFmtId="38" fontId="19" fillId="0" borderId="24" xfId="34" applyFont="1" applyBorder="1">
      <alignment vertical="center"/>
    </xf>
    <xf numFmtId="38" fontId="19" fillId="0" borderId="34" xfId="34" applyFont="1" applyBorder="1" applyAlignment="1">
      <alignment horizontal="right" vertical="center"/>
    </xf>
    <xf numFmtId="178" fontId="19" fillId="0" borderId="57" xfId="34" applyNumberFormat="1" applyFont="1" applyBorder="1">
      <alignment vertical="center"/>
    </xf>
    <xf numFmtId="178" fontId="19" fillId="0" borderId="28" xfId="34" applyNumberFormat="1" applyFont="1" applyBorder="1">
      <alignment vertical="center"/>
    </xf>
    <xf numFmtId="178" fontId="19" fillId="0" borderId="11" xfId="34" applyNumberFormat="1" applyFont="1" applyBorder="1">
      <alignment vertical="center"/>
    </xf>
    <xf numFmtId="178" fontId="19" fillId="0" borderId="35" xfId="34" applyNumberFormat="1" applyFont="1" applyBorder="1">
      <alignment vertical="center"/>
    </xf>
    <xf numFmtId="9" fontId="19" fillId="0" borderId="38" xfId="34" applyNumberFormat="1" applyFont="1" applyBorder="1" applyAlignment="1">
      <alignment horizontal="right" vertical="center"/>
    </xf>
    <xf numFmtId="178" fontId="19" fillId="0" borderId="36" xfId="34" applyNumberFormat="1" applyFont="1" applyBorder="1" applyAlignment="1">
      <alignment vertical="center"/>
    </xf>
    <xf numFmtId="38" fontId="19" fillId="0" borderId="12" xfId="34" applyFont="1" applyBorder="1" applyAlignment="1">
      <alignment vertical="center"/>
    </xf>
    <xf numFmtId="9" fontId="19" fillId="0" borderId="12" xfId="34" applyNumberFormat="1" applyFont="1" applyBorder="1" applyAlignment="1">
      <alignment horizontal="center" vertical="center"/>
    </xf>
    <xf numFmtId="176" fontId="18" fillId="0" borderId="0" xfId="0" applyFont="1" applyAlignment="1">
      <alignment horizontal="center" vertical="center"/>
    </xf>
    <xf numFmtId="176" fontId="19" fillId="0" borderId="13" xfId="0" applyFont="1" applyBorder="1">
      <alignment vertical="center"/>
    </xf>
    <xf numFmtId="176" fontId="19" fillId="0" borderId="13" xfId="0" applyFont="1" applyBorder="1" applyAlignment="1">
      <alignment horizontal="center" vertical="center" wrapText="1"/>
    </xf>
    <xf numFmtId="176" fontId="19" fillId="0" borderId="26" xfId="0" applyFont="1" applyBorder="1" applyAlignment="1">
      <alignment horizontal="center" vertical="center"/>
    </xf>
    <xf numFmtId="38" fontId="19" fillId="0" borderId="38" xfId="34" applyFont="1" applyBorder="1" applyAlignment="1">
      <alignment horizontal="right" vertical="center"/>
    </xf>
    <xf numFmtId="176" fontId="19" fillId="0" borderId="13" xfId="0" applyFont="1" applyBorder="1" applyAlignment="1">
      <alignment horizontal="center" vertical="center"/>
    </xf>
    <xf numFmtId="176" fontId="19" fillId="0" borderId="23" xfId="0" applyFont="1" applyBorder="1" applyAlignment="1">
      <alignment horizontal="center" vertical="center"/>
    </xf>
    <xf numFmtId="38" fontId="19" fillId="0" borderId="23" xfId="34" applyFont="1" applyBorder="1">
      <alignment vertical="center"/>
    </xf>
    <xf numFmtId="176" fontId="19" fillId="0" borderId="39" xfId="0" applyFont="1" applyBorder="1" applyAlignment="1">
      <alignment horizontal="center" vertical="center"/>
    </xf>
    <xf numFmtId="178" fontId="19" fillId="0" borderId="42" xfId="34" applyNumberFormat="1" applyFont="1" applyBorder="1">
      <alignment vertical="center"/>
    </xf>
    <xf numFmtId="9" fontId="19" fillId="0" borderId="12" xfId="34" applyNumberFormat="1" applyFont="1" applyBorder="1" applyAlignment="1">
      <alignment horizontal="right" vertical="center"/>
    </xf>
    <xf numFmtId="178" fontId="19" fillId="0" borderId="20" xfId="34" applyNumberFormat="1" applyFont="1" applyBorder="1" applyAlignment="1">
      <alignment vertical="center"/>
    </xf>
    <xf numFmtId="176" fontId="19" fillId="0" borderId="52" xfId="0" applyFont="1" applyBorder="1" applyAlignment="1">
      <alignment horizontal="center" vertical="center"/>
    </xf>
    <xf numFmtId="38" fontId="19" fillId="0" borderId="57" xfId="34" applyFont="1" applyBorder="1">
      <alignment vertical="center"/>
    </xf>
    <xf numFmtId="38" fontId="19" fillId="0" borderId="52" xfId="34" applyFont="1" applyBorder="1">
      <alignment vertical="center"/>
    </xf>
    <xf numFmtId="178" fontId="19" fillId="0" borderId="52" xfId="34" applyNumberFormat="1" applyFont="1" applyBorder="1">
      <alignment vertical="center"/>
    </xf>
    <xf numFmtId="177" fontId="19" fillId="0" borderId="108" xfId="0" applyNumberFormat="1" applyFont="1" applyBorder="1">
      <alignment vertical="center"/>
    </xf>
    <xf numFmtId="176" fontId="19" fillId="0" borderId="109" xfId="0" applyFont="1" applyBorder="1">
      <alignment vertical="center"/>
    </xf>
    <xf numFmtId="176" fontId="19" fillId="0" borderId="110" xfId="0" applyFont="1" applyBorder="1">
      <alignment vertical="center"/>
    </xf>
    <xf numFmtId="176" fontId="19" fillId="0" borderId="111" xfId="0" applyFont="1" applyBorder="1" applyAlignment="1">
      <alignment horizontal="center" vertical="center" wrapText="1"/>
    </xf>
    <xf numFmtId="176" fontId="19" fillId="0" borderId="112" xfId="0" applyFont="1" applyBorder="1" applyAlignment="1">
      <alignment horizontal="center" vertical="center" wrapText="1"/>
    </xf>
    <xf numFmtId="176" fontId="19" fillId="0" borderId="112" xfId="0" applyFont="1" applyBorder="1" applyAlignment="1">
      <alignment horizontal="center" vertical="center"/>
    </xf>
    <xf numFmtId="176" fontId="19" fillId="0" borderId="113" xfId="0" applyFont="1" applyBorder="1" applyAlignment="1">
      <alignment horizontal="center" vertical="center"/>
    </xf>
    <xf numFmtId="177" fontId="19" fillId="0" borderId="0" xfId="0" applyNumberFormat="1" applyFont="1">
      <alignment vertical="center"/>
    </xf>
    <xf numFmtId="178" fontId="19" fillId="0" borderId="0" xfId="0" applyNumberFormat="1" applyFont="1">
      <alignment vertical="center"/>
    </xf>
    <xf numFmtId="177" fontId="19" fillId="0" borderId="114" xfId="0" applyNumberFormat="1" applyFont="1" applyBorder="1">
      <alignment vertical="center"/>
    </xf>
    <xf numFmtId="176" fontId="19" fillId="0" borderId="115" xfId="0" applyFont="1" applyBorder="1">
      <alignment vertical="center"/>
    </xf>
    <xf numFmtId="177" fontId="19" fillId="0" borderId="70" xfId="0" applyNumberFormat="1" applyFont="1" applyBorder="1">
      <alignment vertical="center"/>
    </xf>
    <xf numFmtId="176" fontId="19" fillId="0" borderId="72" xfId="0" applyFont="1" applyBorder="1">
      <alignment vertical="center"/>
    </xf>
    <xf numFmtId="178" fontId="13" fillId="0" borderId="0" xfId="0" applyNumberFormat="1" applyFont="1">
      <alignment vertical="center"/>
    </xf>
    <xf numFmtId="176" fontId="19" fillId="0" borderId="114" xfId="0" applyFont="1" applyBorder="1" applyAlignment="1">
      <alignment horizontal="center" vertical="center" wrapText="1"/>
    </xf>
    <xf numFmtId="176" fontId="19" fillId="0" borderId="115" xfId="0" applyFont="1" applyBorder="1" applyAlignment="1">
      <alignment horizontal="center" vertical="center" wrapText="1"/>
    </xf>
    <xf numFmtId="176" fontId="19" fillId="0" borderId="116" xfId="0" applyFont="1" applyBorder="1" applyAlignment="1">
      <alignment horizontal="center" vertical="center" wrapText="1"/>
    </xf>
    <xf numFmtId="176" fontId="19" fillId="0" borderId="114" xfId="0" applyFont="1" applyBorder="1">
      <alignment vertical="center"/>
    </xf>
    <xf numFmtId="176" fontId="19" fillId="0" borderId="70" xfId="0" applyFont="1" applyBorder="1">
      <alignment vertical="center"/>
    </xf>
    <xf numFmtId="176" fontId="19" fillId="0" borderId="108" xfId="0" applyFont="1" applyBorder="1">
      <alignment vertical="center"/>
    </xf>
    <xf numFmtId="176" fontId="19" fillId="0" borderId="117" xfId="0" applyFont="1" applyBorder="1">
      <alignment vertical="center"/>
    </xf>
    <xf numFmtId="178" fontId="19" fillId="0" borderId="109" xfId="0" applyNumberFormat="1" applyFont="1" applyBorder="1">
      <alignment vertical="center"/>
    </xf>
    <xf numFmtId="176" fontId="20" fillId="0" borderId="0" xfId="0" applyFont="1" applyAlignment="1">
      <alignment horizontal="right" vertical="center"/>
    </xf>
    <xf numFmtId="38" fontId="19" fillId="0" borderId="49" xfId="34" applyFont="1" applyBorder="1" applyAlignment="1">
      <alignment horizontal="right" vertical="center"/>
    </xf>
    <xf numFmtId="184" fontId="13" fillId="0" borderId="0" xfId="0" applyNumberFormat="1" applyFont="1" applyAlignment="1">
      <alignment horizontal="center" vertical="center"/>
    </xf>
    <xf numFmtId="184" fontId="13" fillId="0" borderId="0" xfId="0" applyNumberFormat="1" applyFont="1" applyAlignment="1">
      <alignment horizontal="right" vertical="center"/>
    </xf>
    <xf numFmtId="184" fontId="14" fillId="0" borderId="0" xfId="0" applyNumberFormat="1" applyFont="1" applyAlignment="1">
      <alignment horizontal="right" vertical="center"/>
    </xf>
    <xf numFmtId="184" fontId="14" fillId="0" borderId="0" xfId="0" applyNumberFormat="1" applyFont="1">
      <alignment vertical="center"/>
    </xf>
    <xf numFmtId="180" fontId="19" fillId="0" borderId="60" xfId="34" applyNumberFormat="1" applyFont="1" applyBorder="1" applyAlignment="1">
      <alignment horizontal="right" vertical="center"/>
    </xf>
    <xf numFmtId="180" fontId="19" fillId="0" borderId="49" xfId="34" applyNumberFormat="1" applyFont="1" applyBorder="1" applyAlignment="1">
      <alignment horizontal="right" vertical="center"/>
    </xf>
    <xf numFmtId="176" fontId="19" fillId="0" borderId="42" xfId="56" applyFont="1" applyBorder="1" applyAlignment="1">
      <alignment horizontal="center" vertical="center" wrapText="1"/>
    </xf>
    <xf numFmtId="38" fontId="19" fillId="0" borderId="22" xfId="68" applyFont="1" applyBorder="1" applyAlignment="1">
      <alignment horizontal="right" vertical="center"/>
    </xf>
    <xf numFmtId="38" fontId="19" fillId="0" borderId="10" xfId="68" applyFont="1" applyBorder="1" applyAlignment="1">
      <alignment horizontal="right" vertical="center"/>
    </xf>
    <xf numFmtId="180" fontId="19" fillId="0" borderId="12" xfId="68" applyNumberFormat="1" applyFont="1" applyBorder="1" applyAlignment="1">
      <alignment horizontal="right" vertical="center"/>
    </xf>
    <xf numFmtId="180" fontId="19" fillId="0" borderId="13" xfId="68" applyNumberFormat="1" applyFont="1" applyBorder="1" applyAlignment="1">
      <alignment horizontal="right" vertical="center"/>
    </xf>
    <xf numFmtId="176" fontId="20" fillId="0" borderId="26" xfId="0" applyFont="1" applyBorder="1" applyAlignment="1">
      <alignment horizontal="center" vertical="center"/>
    </xf>
    <xf numFmtId="176" fontId="20" fillId="0" borderId="13" xfId="0" applyFont="1" applyBorder="1" applyAlignment="1">
      <alignment horizontal="center" vertical="center"/>
    </xf>
    <xf numFmtId="38" fontId="19" fillId="0" borderId="15" xfId="34" applyFont="1" applyBorder="1" applyAlignment="1">
      <alignment horizontal="right" vertical="center"/>
    </xf>
    <xf numFmtId="180" fontId="19" fillId="0" borderId="115" xfId="0" applyNumberFormat="1" applyFont="1" applyBorder="1">
      <alignment vertical="center"/>
    </xf>
    <xf numFmtId="180" fontId="19" fillId="0" borderId="72" xfId="0" applyNumberFormat="1" applyFont="1" applyBorder="1">
      <alignment vertical="center"/>
    </xf>
    <xf numFmtId="38" fontId="19" fillId="0" borderId="118" xfId="68" applyFont="1" applyBorder="1" applyAlignment="1">
      <alignment horizontal="right" vertical="center"/>
    </xf>
    <xf numFmtId="178" fontId="19" fillId="0" borderId="26" xfId="56" applyNumberFormat="1" applyFont="1" applyBorder="1" applyAlignment="1">
      <alignment horizontal="center" vertical="center" wrapText="1"/>
    </xf>
    <xf numFmtId="178" fontId="19" fillId="0" borderId="46" xfId="56" applyNumberFormat="1" applyFont="1" applyBorder="1">
      <alignment vertical="center"/>
    </xf>
    <xf numFmtId="178" fontId="19" fillId="0" borderId="11" xfId="56" applyNumberFormat="1" applyFont="1" applyBorder="1">
      <alignment vertical="center"/>
    </xf>
    <xf numFmtId="178" fontId="19" fillId="0" borderId="35" xfId="56" applyNumberFormat="1" applyFont="1" applyBorder="1">
      <alignment vertical="center"/>
    </xf>
    <xf numFmtId="9" fontId="19" fillId="0" borderId="43" xfId="56" applyNumberFormat="1" applyFont="1" applyBorder="1">
      <alignment vertical="center"/>
    </xf>
    <xf numFmtId="178" fontId="19" fillId="0" borderId="28" xfId="56" applyNumberFormat="1" applyFont="1" applyBorder="1">
      <alignment vertical="center"/>
    </xf>
    <xf numFmtId="9" fontId="19" fillId="0" borderId="46" xfId="56" applyNumberFormat="1" applyFont="1" applyBorder="1">
      <alignment vertical="center"/>
    </xf>
    <xf numFmtId="176" fontId="19" fillId="0" borderId="23" xfId="56" applyFont="1" applyBorder="1" applyAlignment="1">
      <alignment horizontal="center" vertical="center"/>
    </xf>
    <xf numFmtId="38" fontId="19" fillId="0" borderId="25" xfId="68" applyFont="1" applyBorder="1" applyAlignment="1">
      <alignment horizontal="right" vertical="center"/>
    </xf>
    <xf numFmtId="38" fontId="19" fillId="0" borderId="21" xfId="68" applyFont="1" applyBorder="1" applyAlignment="1">
      <alignment horizontal="right" vertical="center"/>
    </xf>
    <xf numFmtId="38" fontId="19" fillId="0" borderId="24" xfId="68" applyFont="1" applyBorder="1" applyAlignment="1">
      <alignment horizontal="right" vertical="center"/>
    </xf>
    <xf numFmtId="38" fontId="19" fillId="0" borderId="44" xfId="68" applyFont="1" applyBorder="1" applyAlignment="1">
      <alignment horizontal="right" vertical="center"/>
    </xf>
    <xf numFmtId="38" fontId="19" fillId="0" borderId="34" xfId="68" applyFont="1" applyBorder="1" applyAlignment="1">
      <alignment horizontal="right" vertical="center"/>
    </xf>
    <xf numFmtId="38" fontId="19" fillId="0" borderId="23" xfId="68" applyFont="1" applyBorder="1" applyAlignment="1">
      <alignment horizontal="right" vertical="center"/>
    </xf>
    <xf numFmtId="178" fontId="19" fillId="0" borderId="26" xfId="56" applyNumberFormat="1" applyFont="1" applyBorder="1" applyAlignment="1">
      <alignment horizontal="center" vertical="center"/>
    </xf>
    <xf numFmtId="9" fontId="19" fillId="0" borderId="57" xfId="56" applyNumberFormat="1" applyFont="1" applyBorder="1">
      <alignment vertical="center"/>
    </xf>
    <xf numFmtId="178" fontId="19" fillId="0" borderId="26" xfId="56" applyNumberFormat="1" applyFont="1" applyBorder="1">
      <alignment vertical="center"/>
    </xf>
    <xf numFmtId="178" fontId="19" fillId="0" borderId="43" xfId="56" applyNumberFormat="1" applyFont="1" applyBorder="1">
      <alignment vertical="center"/>
    </xf>
    <xf numFmtId="176" fontId="19" fillId="0" borderId="106" xfId="56" applyFont="1" applyBorder="1" applyAlignment="1">
      <alignment horizontal="center" vertical="center"/>
    </xf>
    <xf numFmtId="38" fontId="19" fillId="0" borderId="107" xfId="68" applyFont="1" applyBorder="1" applyAlignment="1">
      <alignment horizontal="right" vertical="center"/>
    </xf>
    <xf numFmtId="38" fontId="19" fillId="0" borderId="49" xfId="68" applyFont="1" applyBorder="1" applyAlignment="1">
      <alignment horizontal="right" vertical="center"/>
    </xf>
    <xf numFmtId="38" fontId="19" fillId="0" borderId="106" xfId="68" applyFont="1" applyBorder="1" applyAlignment="1">
      <alignment horizontal="right" vertical="center"/>
    </xf>
    <xf numFmtId="38" fontId="19" fillId="0" borderId="38" xfId="68" applyFont="1" applyBorder="1" applyAlignment="1">
      <alignment horizontal="right" vertical="center"/>
    </xf>
    <xf numFmtId="38" fontId="19" fillId="0" borderId="39" xfId="68" applyFont="1" applyBorder="1" applyAlignment="1">
      <alignment horizontal="right" vertical="center"/>
    </xf>
    <xf numFmtId="178" fontId="19" fillId="0" borderId="27" xfId="56" applyNumberFormat="1" applyFont="1" applyBorder="1" applyAlignment="1">
      <alignment horizontal="center" vertical="center"/>
    </xf>
    <xf numFmtId="178" fontId="19" fillId="0" borderId="31" xfId="56" applyNumberFormat="1" applyFont="1" applyBorder="1">
      <alignment vertical="center"/>
    </xf>
    <xf numFmtId="178" fontId="19" fillId="0" borderId="32" xfId="56" applyNumberFormat="1" applyFont="1" applyBorder="1">
      <alignment vertical="center"/>
    </xf>
    <xf numFmtId="9" fontId="19" fillId="0" borderId="27" xfId="56" applyNumberFormat="1" applyFont="1" applyBorder="1">
      <alignment vertical="center"/>
    </xf>
    <xf numFmtId="178" fontId="19" fillId="0" borderId="33" xfId="56" applyNumberFormat="1" applyFont="1" applyBorder="1">
      <alignment vertical="center"/>
    </xf>
    <xf numFmtId="9" fontId="19" fillId="0" borderId="31" xfId="56" applyNumberFormat="1" applyFont="1" applyBorder="1">
      <alignment vertical="center"/>
    </xf>
    <xf numFmtId="0" fontId="13" fillId="0" borderId="0" xfId="55" applyFont="1" applyAlignment="1">
      <alignment vertical="center"/>
    </xf>
    <xf numFmtId="0" fontId="10" fillId="0" borderId="0" xfId="55" applyAlignment="1">
      <alignment vertical="center"/>
    </xf>
    <xf numFmtId="180" fontId="10" fillId="0" borderId="0" xfId="55" applyNumberFormat="1" applyAlignment="1">
      <alignment vertical="center"/>
    </xf>
    <xf numFmtId="0" fontId="19" fillId="0" borderId="0" xfId="55" applyFont="1" applyAlignment="1">
      <alignment vertical="center"/>
    </xf>
    <xf numFmtId="180" fontId="19" fillId="0" borderId="10" xfId="0" applyNumberFormat="1" applyFont="1" applyBorder="1" applyAlignment="1">
      <alignment horizontal="center" vertical="center"/>
    </xf>
    <xf numFmtId="180" fontId="19" fillId="0" borderId="10" xfId="0" applyNumberFormat="1" applyFont="1" applyBorder="1">
      <alignment vertical="center"/>
    </xf>
    <xf numFmtId="178" fontId="19" fillId="0" borderId="10" xfId="28" applyNumberFormat="1" applyFont="1" applyBorder="1" applyAlignment="1">
      <alignment vertical="center"/>
    </xf>
    <xf numFmtId="9" fontId="19" fillId="0" borderId="37" xfId="28" applyFont="1" applyBorder="1" applyAlignment="1">
      <alignment vertical="center"/>
    </xf>
    <xf numFmtId="9" fontId="19" fillId="0" borderId="10" xfId="28" applyFont="1" applyBorder="1" applyAlignment="1">
      <alignment vertical="center"/>
    </xf>
    <xf numFmtId="178" fontId="19" fillId="0" borderId="22" xfId="34" applyNumberFormat="1" applyFont="1" applyBorder="1">
      <alignment vertical="center"/>
    </xf>
    <xf numFmtId="176" fontId="50" fillId="0" borderId="0" xfId="56" applyFont="1">
      <alignment vertical="center"/>
    </xf>
    <xf numFmtId="38" fontId="19" fillId="0" borderId="15" xfId="68" applyFont="1" applyFill="1" applyBorder="1" applyAlignment="1">
      <alignment vertical="center"/>
    </xf>
    <xf numFmtId="9" fontId="19" fillId="0" borderId="11" xfId="28" applyFont="1" applyBorder="1" applyAlignment="1">
      <alignment vertical="center"/>
    </xf>
    <xf numFmtId="180" fontId="19" fillId="0" borderId="0" xfId="55" applyNumberFormat="1" applyFont="1" applyAlignment="1">
      <alignment vertical="center"/>
    </xf>
    <xf numFmtId="180" fontId="13" fillId="0" borderId="0" xfId="55" applyNumberFormat="1" applyFont="1" applyAlignment="1">
      <alignment vertical="center"/>
    </xf>
    <xf numFmtId="0" fontId="19" fillId="0" borderId="10" xfId="55" applyFont="1" applyBorder="1" applyAlignment="1">
      <alignment horizontal="center" vertical="center"/>
    </xf>
    <xf numFmtId="180" fontId="19" fillId="0" borderId="10" xfId="55" applyNumberFormat="1" applyFont="1" applyBorder="1" applyAlignment="1">
      <alignment horizontal="center" vertical="center"/>
    </xf>
    <xf numFmtId="0" fontId="19" fillId="0" borderId="10" xfId="55" applyFont="1" applyBorder="1" applyAlignment="1">
      <alignment horizontal="left" vertical="center" shrinkToFit="1"/>
    </xf>
    <xf numFmtId="180" fontId="19" fillId="0" borderId="10" xfId="55" applyNumberFormat="1" applyFont="1" applyBorder="1" applyAlignment="1">
      <alignment vertical="center"/>
    </xf>
    <xf numFmtId="0" fontId="19" fillId="0" borderId="10" xfId="55" applyFont="1" applyBorder="1" applyAlignment="1">
      <alignment horizontal="left" vertical="center"/>
    </xf>
    <xf numFmtId="0" fontId="19" fillId="0" borderId="10" xfId="55" applyFont="1" applyBorder="1" applyAlignment="1">
      <alignment vertical="center" shrinkToFit="1"/>
    </xf>
    <xf numFmtId="0" fontId="19" fillId="0" borderId="10" xfId="55" applyFont="1" applyBorder="1" applyAlignment="1">
      <alignment vertical="center"/>
    </xf>
    <xf numFmtId="0" fontId="19" fillId="0" borderId="50" xfId="55" applyFont="1" applyBorder="1" applyAlignment="1">
      <alignment horizontal="center" vertical="center"/>
    </xf>
    <xf numFmtId="180" fontId="19" fillId="0" borderId="19" xfId="55" applyNumberFormat="1" applyFont="1" applyBorder="1" applyAlignment="1">
      <alignment vertical="center"/>
    </xf>
    <xf numFmtId="9" fontId="19" fillId="0" borderId="37" xfId="55" applyNumberFormat="1" applyFont="1" applyBorder="1" applyAlignment="1">
      <alignment vertical="center"/>
    </xf>
    <xf numFmtId="0" fontId="20" fillId="0" borderId="11" xfId="55" applyFont="1" applyBorder="1" applyAlignment="1">
      <alignment vertical="center"/>
    </xf>
    <xf numFmtId="185" fontId="19" fillId="0" borderId="10" xfId="55" applyNumberFormat="1" applyFont="1" applyBorder="1" applyAlignment="1">
      <alignment vertical="center"/>
    </xf>
    <xf numFmtId="183" fontId="19" fillId="0" borderId="11" xfId="55" applyNumberFormat="1" applyFont="1" applyBorder="1" applyAlignment="1">
      <alignment vertical="center"/>
    </xf>
    <xf numFmtId="0" fontId="20" fillId="0" borderId="10" xfId="55" applyFont="1" applyBorder="1" applyAlignment="1">
      <alignment vertical="center"/>
    </xf>
    <xf numFmtId="180" fontId="19" fillId="0" borderId="10" xfId="55" applyNumberFormat="1" applyFont="1" applyBorder="1" applyAlignment="1">
      <alignment horizontal="right" vertical="center"/>
    </xf>
    <xf numFmtId="0" fontId="19" fillId="0" borderId="13" xfId="55" applyFont="1" applyBorder="1" applyAlignment="1">
      <alignment vertical="center"/>
    </xf>
    <xf numFmtId="180" fontId="19" fillId="0" borderId="36" xfId="55" applyNumberFormat="1" applyFont="1" applyBorder="1" applyAlignment="1">
      <alignment vertical="center"/>
    </xf>
    <xf numFmtId="0" fontId="19" fillId="0" borderId="12" xfId="55" applyFont="1" applyBorder="1" applyAlignment="1">
      <alignment vertical="center"/>
    </xf>
    <xf numFmtId="0" fontId="19" fillId="0" borderId="11" xfId="55" applyFont="1" applyBorder="1" applyAlignment="1">
      <alignment vertical="center"/>
    </xf>
    <xf numFmtId="180" fontId="19" fillId="0" borderId="11" xfId="55" applyNumberFormat="1" applyFont="1" applyBorder="1" applyAlignment="1">
      <alignment vertical="center"/>
    </xf>
    <xf numFmtId="180" fontId="19" fillId="0" borderId="16" xfId="55" applyNumberFormat="1" applyFont="1" applyBorder="1" applyAlignment="1">
      <alignment vertical="center"/>
    </xf>
    <xf numFmtId="180" fontId="19" fillId="0" borderId="53" xfId="55" applyNumberFormat="1" applyFont="1" applyBorder="1" applyAlignment="1">
      <alignment vertical="center"/>
    </xf>
    <xf numFmtId="0" fontId="19" fillId="0" borderId="26" xfId="55" applyFont="1" applyBorder="1" applyAlignment="1">
      <alignment vertical="center"/>
    </xf>
    <xf numFmtId="0" fontId="19" fillId="0" borderId="10" xfId="55" applyFont="1" applyBorder="1" applyAlignment="1">
      <alignment horizontal="right" vertical="center"/>
    </xf>
    <xf numFmtId="180" fontId="19" fillId="0" borderId="10" xfId="55" quotePrefix="1" applyNumberFormat="1" applyFont="1" applyBorder="1" applyAlignment="1">
      <alignment horizontal="right" vertical="center"/>
    </xf>
    <xf numFmtId="189" fontId="13" fillId="0" borderId="0" xfId="55" applyNumberFormat="1" applyFont="1" applyAlignment="1">
      <alignment vertical="center"/>
    </xf>
    <xf numFmtId="0" fontId="19" fillId="0" borderId="10" xfId="55" applyFont="1" applyBorder="1" applyAlignment="1">
      <alignment horizontal="left" vertical="center" indent="1"/>
    </xf>
    <xf numFmtId="38" fontId="19" fillId="0" borderId="22" xfId="68" applyFont="1" applyFill="1" applyBorder="1" applyAlignment="1">
      <alignment vertical="center"/>
    </xf>
    <xf numFmtId="38" fontId="19" fillId="0" borderId="10" xfId="68" applyFont="1" applyFill="1" applyBorder="1" applyAlignment="1">
      <alignment vertical="center"/>
    </xf>
    <xf numFmtId="38" fontId="19" fillId="0" borderId="20" xfId="68" applyFont="1" applyFill="1" applyBorder="1" applyAlignment="1">
      <alignment vertical="center"/>
    </xf>
    <xf numFmtId="176" fontId="19" fillId="0" borderId="73" xfId="0" applyFont="1" applyBorder="1" applyAlignment="1">
      <alignment horizontal="center" vertical="center" shrinkToFit="1"/>
    </xf>
    <xf numFmtId="38" fontId="19" fillId="0" borderId="31" xfId="34" applyFont="1" applyBorder="1">
      <alignment vertical="center"/>
    </xf>
    <xf numFmtId="176" fontId="21" fillId="0" borderId="10" xfId="0" applyFont="1" applyBorder="1" applyAlignment="1">
      <alignment horizontal="center" vertical="center"/>
    </xf>
    <xf numFmtId="180" fontId="19" fillId="0" borderId="11" xfId="34" applyNumberFormat="1" applyFont="1" applyBorder="1" applyAlignment="1">
      <alignment horizontal="right" vertical="center"/>
    </xf>
    <xf numFmtId="176" fontId="20" fillId="0" borderId="39" xfId="0" applyFont="1" applyBorder="1" applyAlignment="1">
      <alignment horizontal="center" vertical="center"/>
    </xf>
    <xf numFmtId="176" fontId="20" fillId="0" borderId="85" xfId="0" applyFont="1" applyBorder="1" applyAlignment="1">
      <alignment horizontal="center" vertical="center"/>
    </xf>
    <xf numFmtId="38" fontId="19" fillId="0" borderId="96" xfId="34" applyFont="1" applyBorder="1">
      <alignment vertical="center"/>
    </xf>
    <xf numFmtId="38" fontId="19" fillId="0" borderId="120" xfId="34" applyFont="1" applyBorder="1">
      <alignment vertical="center"/>
    </xf>
    <xf numFmtId="38" fontId="19" fillId="0" borderId="121" xfId="34" applyFont="1" applyBorder="1">
      <alignment vertical="center"/>
    </xf>
    <xf numFmtId="38" fontId="19" fillId="0" borderId="122" xfId="34" applyFont="1" applyBorder="1">
      <alignment vertical="center"/>
    </xf>
    <xf numFmtId="38" fontId="19" fillId="0" borderId="85" xfId="34" applyFont="1" applyBorder="1">
      <alignment vertical="center"/>
    </xf>
    <xf numFmtId="38" fontId="19" fillId="0" borderId="88" xfId="34" applyFont="1" applyBorder="1">
      <alignment vertical="center"/>
    </xf>
    <xf numFmtId="176" fontId="20" fillId="0" borderId="42" xfId="0" applyFont="1" applyBorder="1" applyAlignment="1">
      <alignment horizontal="center" vertical="center"/>
    </xf>
    <xf numFmtId="38" fontId="19" fillId="0" borderId="124" xfId="34" applyFont="1" applyBorder="1">
      <alignment vertical="center"/>
    </xf>
    <xf numFmtId="38" fontId="19" fillId="0" borderId="125" xfId="34" applyFont="1" applyBorder="1">
      <alignment vertical="center"/>
    </xf>
    <xf numFmtId="176" fontId="21" fillId="0" borderId="22" xfId="0" applyFont="1" applyBorder="1" applyAlignment="1">
      <alignment horizontal="center" vertical="center"/>
    </xf>
    <xf numFmtId="176" fontId="21" fillId="0" borderId="13" xfId="0" applyFont="1" applyBorder="1" applyAlignment="1">
      <alignment horizontal="center" vertical="center"/>
    </xf>
    <xf numFmtId="176" fontId="21" fillId="0" borderId="42" xfId="0" applyFont="1" applyBorder="1" applyAlignment="1">
      <alignment horizontal="center" vertical="center"/>
    </xf>
    <xf numFmtId="176" fontId="21" fillId="0" borderId="12" xfId="0" applyFont="1" applyBorder="1" applyAlignment="1">
      <alignment horizontal="center" vertical="center"/>
    </xf>
    <xf numFmtId="38" fontId="19" fillId="0" borderId="96" xfId="34" applyFont="1" applyBorder="1" applyAlignment="1">
      <alignment horizontal="right" vertical="center"/>
    </xf>
    <xf numFmtId="38" fontId="19" fillId="0" borderId="121" xfId="34" applyFont="1" applyBorder="1" applyAlignment="1">
      <alignment horizontal="right" vertical="center"/>
    </xf>
    <xf numFmtId="38" fontId="19" fillId="0" borderId="107" xfId="34" applyFont="1" applyBorder="1" applyAlignment="1">
      <alignment horizontal="right" vertical="center"/>
    </xf>
    <xf numFmtId="38" fontId="19" fillId="0" borderId="85" xfId="34" applyFont="1" applyBorder="1" applyAlignment="1">
      <alignment horizontal="right" vertical="center"/>
    </xf>
    <xf numFmtId="38" fontId="19" fillId="0" borderId="39" xfId="34" applyFont="1" applyBorder="1" applyAlignment="1">
      <alignment horizontal="right" vertical="center"/>
    </xf>
    <xf numFmtId="38" fontId="19" fillId="0" borderId="124" xfId="34" applyFont="1" applyBorder="1" applyAlignment="1">
      <alignment horizontal="right" vertical="center"/>
    </xf>
    <xf numFmtId="38" fontId="19" fillId="0" borderId="68" xfId="34" applyFont="1" applyBorder="1" applyAlignment="1">
      <alignment horizontal="right" vertical="center"/>
    </xf>
    <xf numFmtId="38" fontId="19" fillId="0" borderId="29" xfId="34" applyFont="1" applyBorder="1" applyAlignment="1">
      <alignment horizontal="right" vertical="center"/>
    </xf>
    <xf numFmtId="176" fontId="20" fillId="0" borderId="20" xfId="0" applyFont="1" applyBorder="1" applyAlignment="1">
      <alignment horizontal="center" vertical="center"/>
    </xf>
    <xf numFmtId="38" fontId="19" fillId="0" borderId="127" xfId="34" applyFont="1" applyBorder="1" applyAlignment="1">
      <alignment horizontal="right" vertical="center"/>
    </xf>
    <xf numFmtId="38" fontId="19" fillId="0" borderId="58" xfId="34" applyFont="1" applyBorder="1" applyAlignment="1">
      <alignment horizontal="right" vertical="center"/>
    </xf>
    <xf numFmtId="38" fontId="19" fillId="0" borderId="56" xfId="34" applyFont="1" applyBorder="1" applyAlignment="1">
      <alignment horizontal="right" vertical="center"/>
    </xf>
    <xf numFmtId="38" fontId="19" fillId="0" borderId="68" xfId="34" applyFont="1" applyBorder="1">
      <alignment vertical="center"/>
    </xf>
    <xf numFmtId="38" fontId="19" fillId="0" borderId="128" xfId="34" applyFont="1" applyBorder="1">
      <alignment vertical="center"/>
    </xf>
    <xf numFmtId="38" fontId="19" fillId="0" borderId="129" xfId="34" applyFont="1" applyBorder="1">
      <alignment vertical="center"/>
    </xf>
    <xf numFmtId="176" fontId="20" fillId="0" borderId="13" xfId="0" applyFont="1" applyBorder="1" applyAlignment="1">
      <alignment horizontal="center" vertical="center" wrapText="1"/>
    </xf>
    <xf numFmtId="176" fontId="20" fillId="0" borderId="12" xfId="0" applyFont="1" applyBorder="1" applyAlignment="1">
      <alignment horizontal="center" vertical="center"/>
    </xf>
    <xf numFmtId="176" fontId="20" fillId="0" borderId="22" xfId="0" applyFont="1" applyBorder="1" applyAlignment="1">
      <alignment horizontal="center" vertical="center"/>
    </xf>
    <xf numFmtId="176" fontId="51" fillId="0" borderId="0" xfId="0" applyFont="1" applyAlignment="1">
      <alignment horizontal="left" vertical="center"/>
    </xf>
    <xf numFmtId="176" fontId="52" fillId="0" borderId="0" xfId="0" applyFont="1" applyAlignment="1"/>
    <xf numFmtId="176" fontId="52" fillId="0" borderId="29" xfId="0" applyFont="1" applyBorder="1" applyAlignment="1"/>
    <xf numFmtId="176" fontId="53" fillId="0" borderId="0" xfId="0" applyFont="1">
      <alignment vertical="center"/>
    </xf>
    <xf numFmtId="9" fontId="19" fillId="0" borderId="108" xfId="0" applyNumberFormat="1" applyFont="1" applyBorder="1">
      <alignment vertical="center"/>
    </xf>
    <xf numFmtId="178" fontId="19" fillId="0" borderId="109" xfId="0" applyNumberFormat="1" applyFont="1" applyBorder="1" applyAlignment="1">
      <alignment horizontal="center" vertical="center"/>
    </xf>
    <xf numFmtId="178" fontId="19" fillId="0" borderId="81" xfId="0" applyNumberFormat="1" applyFont="1" applyBorder="1">
      <alignment vertical="center"/>
    </xf>
    <xf numFmtId="178" fontId="19" fillId="0" borderId="78" xfId="0" applyNumberFormat="1" applyFont="1" applyBorder="1">
      <alignment vertical="center"/>
    </xf>
    <xf numFmtId="9" fontId="19" fillId="0" borderId="76" xfId="0" applyNumberFormat="1" applyFont="1" applyBorder="1">
      <alignment vertical="center"/>
    </xf>
    <xf numFmtId="178" fontId="19" fillId="0" borderId="81" xfId="0" applyNumberFormat="1" applyFont="1" applyBorder="1" applyAlignment="1">
      <alignment horizontal="center" vertical="center"/>
    </xf>
    <xf numFmtId="9" fontId="19" fillId="0" borderId="82" xfId="0" applyNumberFormat="1" applyFont="1" applyBorder="1">
      <alignment vertical="center"/>
    </xf>
    <xf numFmtId="176" fontId="51" fillId="0" borderId="0" xfId="0" applyFont="1">
      <alignment vertical="center"/>
    </xf>
    <xf numFmtId="38" fontId="19" fillId="0" borderId="21" xfId="34" applyFont="1" applyBorder="1" applyAlignment="1">
      <alignment horizontal="right" vertical="center"/>
    </xf>
    <xf numFmtId="176" fontId="45" fillId="0" borderId="0" xfId="0" applyFont="1" applyAlignment="1">
      <alignment horizontal="left"/>
    </xf>
    <xf numFmtId="176" fontId="51" fillId="0" borderId="0" xfId="0" applyFont="1" applyAlignment="1">
      <alignment horizontal="left"/>
    </xf>
    <xf numFmtId="176" fontId="54" fillId="0" borderId="0" xfId="0" applyFont="1" applyAlignment="1">
      <alignment horizontal="left"/>
    </xf>
    <xf numFmtId="38" fontId="19" fillId="0" borderId="47" xfId="68" applyFont="1" applyBorder="1" applyAlignment="1">
      <alignment horizontal="right" vertical="center"/>
    </xf>
    <xf numFmtId="194" fontId="19" fillId="0" borderId="22" xfId="68" applyNumberFormat="1" applyFont="1" applyFill="1" applyBorder="1" applyAlignment="1">
      <alignment vertical="center"/>
    </xf>
    <xf numFmtId="194" fontId="19" fillId="0" borderId="10" xfId="68" applyNumberFormat="1" applyFont="1" applyFill="1" applyBorder="1" applyAlignment="1">
      <alignment vertical="center"/>
    </xf>
    <xf numFmtId="176" fontId="55" fillId="0" borderId="0" xfId="56" applyFont="1">
      <alignment vertical="center"/>
    </xf>
    <xf numFmtId="176" fontId="19" fillId="0" borderId="39" xfId="0" applyFont="1" applyBorder="1" applyAlignment="1">
      <alignment horizontal="center" vertical="center" shrinkToFit="1"/>
    </xf>
    <xf numFmtId="38" fontId="19" fillId="0" borderId="117" xfId="34" applyFont="1" applyBorder="1" applyAlignment="1">
      <alignment vertical="center" shrinkToFit="1"/>
    </xf>
    <xf numFmtId="38" fontId="19" fillId="0" borderId="109" xfId="34" applyFont="1" applyFill="1" applyBorder="1" applyAlignment="1">
      <alignment vertical="center" shrinkToFit="1"/>
    </xf>
    <xf numFmtId="38" fontId="19" fillId="0" borderId="109" xfId="34" applyFont="1" applyBorder="1" applyAlignment="1">
      <alignment vertical="center" shrinkToFit="1"/>
    </xf>
    <xf numFmtId="38" fontId="19" fillId="0" borderId="108" xfId="34" applyFont="1" applyFill="1" applyBorder="1" applyAlignment="1">
      <alignment vertical="center" shrinkToFit="1"/>
    </xf>
    <xf numFmtId="38" fontId="19" fillId="0" borderId="110" xfId="34" applyFont="1" applyFill="1" applyBorder="1" applyAlignment="1">
      <alignment vertical="center" shrinkToFit="1"/>
    </xf>
    <xf numFmtId="38" fontId="19" fillId="0" borderId="130" xfId="34" applyFont="1" applyFill="1" applyBorder="1" applyAlignment="1">
      <alignment vertical="center" shrinkToFit="1"/>
    </xf>
    <xf numFmtId="38" fontId="19" fillId="0" borderId="117" xfId="34" applyFont="1" applyFill="1" applyBorder="1" applyAlignment="1">
      <alignment vertical="center" shrinkToFit="1"/>
    </xf>
    <xf numFmtId="176" fontId="19" fillId="0" borderId="49" xfId="0" applyFont="1" applyBorder="1" applyAlignment="1">
      <alignment horizontal="center" vertical="center" shrinkToFit="1"/>
    </xf>
    <xf numFmtId="176" fontId="19" fillId="0" borderId="26" xfId="0" applyFont="1" applyBorder="1" applyAlignment="1">
      <alignment horizontal="center" vertical="center" shrinkToFit="1"/>
    </xf>
    <xf numFmtId="38" fontId="19" fillId="0" borderId="77" xfId="34" applyFont="1" applyBorder="1" applyAlignment="1">
      <alignment vertical="center" shrinkToFit="1"/>
    </xf>
    <xf numFmtId="38" fontId="19" fillId="0" borderId="78" xfId="34" applyFont="1" applyBorder="1" applyAlignment="1">
      <alignment vertical="center" shrinkToFit="1"/>
    </xf>
    <xf numFmtId="38" fontId="19" fillId="0" borderId="78" xfId="34" applyFont="1" applyFill="1" applyBorder="1" applyAlignment="1">
      <alignment vertical="center" shrinkToFit="1"/>
    </xf>
    <xf numFmtId="38" fontId="19" fillId="0" borderId="76" xfId="34" applyFont="1" applyFill="1" applyBorder="1" applyAlignment="1">
      <alignment vertical="center" shrinkToFit="1"/>
    </xf>
    <xf numFmtId="38" fontId="19" fillId="0" borderId="131" xfId="34" applyFont="1" applyFill="1" applyBorder="1" applyAlignment="1">
      <alignment vertical="center" shrinkToFit="1"/>
    </xf>
    <xf numFmtId="38" fontId="19" fillId="0" borderId="132" xfId="34" applyFont="1" applyFill="1" applyBorder="1" applyAlignment="1">
      <alignment vertical="center" shrinkToFit="1"/>
    </xf>
    <xf numFmtId="38" fontId="19" fillId="0" borderId="77" xfId="34" applyFont="1" applyFill="1" applyBorder="1" applyAlignment="1">
      <alignment vertical="center" shrinkToFit="1"/>
    </xf>
    <xf numFmtId="194" fontId="19" fillId="0" borderId="20" xfId="68" applyNumberFormat="1" applyFont="1" applyFill="1" applyBorder="1" applyAlignment="1">
      <alignment vertical="center"/>
    </xf>
    <xf numFmtId="176" fontId="20" fillId="0" borderId="133" xfId="0" applyFont="1" applyBorder="1" applyAlignment="1">
      <alignment horizontal="center" vertical="center"/>
    </xf>
    <xf numFmtId="176" fontId="19" fillId="0" borderId="14" xfId="0" applyFont="1" applyBorder="1" applyAlignment="1">
      <alignment horizontal="center" vertical="center"/>
    </xf>
    <xf numFmtId="190" fontId="19" fillId="0" borderId="0" xfId="0" applyNumberFormat="1" applyFont="1">
      <alignment vertical="center"/>
    </xf>
    <xf numFmtId="176" fontId="56" fillId="0" borderId="0" xfId="56" applyFont="1">
      <alignment vertical="center"/>
    </xf>
    <xf numFmtId="38" fontId="19" fillId="0" borderId="115" xfId="34" applyFont="1" applyFill="1" applyBorder="1" applyAlignment="1">
      <alignment horizontal="right" vertical="center" shrinkToFit="1"/>
    </xf>
    <xf numFmtId="38" fontId="19" fillId="0" borderId="40" xfId="34" applyFont="1" applyFill="1" applyBorder="1" applyAlignment="1">
      <alignment horizontal="right" vertical="center" shrinkToFit="1"/>
    </xf>
    <xf numFmtId="38" fontId="19" fillId="0" borderId="81" xfId="34" applyFont="1" applyFill="1" applyBorder="1" applyAlignment="1">
      <alignment horizontal="right" vertical="center" shrinkToFit="1"/>
    </xf>
    <xf numFmtId="180" fontId="19" fillId="0" borderId="41" xfId="55" applyNumberFormat="1" applyFont="1" applyBorder="1" applyAlignment="1">
      <alignment vertical="center"/>
    </xf>
    <xf numFmtId="10" fontId="19" fillId="0" borderId="0" xfId="55" applyNumberFormat="1" applyFont="1" applyAlignment="1">
      <alignment vertical="center"/>
    </xf>
    <xf numFmtId="0" fontId="57" fillId="0" borderId="0" xfId="61" applyFont="1">
      <alignment vertical="center"/>
    </xf>
    <xf numFmtId="178" fontId="19" fillId="0" borderId="0" xfId="56" applyNumberFormat="1" applyFont="1" applyAlignment="1">
      <alignment horizontal="center" vertical="center" wrapText="1"/>
    </xf>
    <xf numFmtId="176" fontId="19" fillId="0" borderId="13" xfId="56" applyFont="1" applyBorder="1" applyAlignment="1">
      <alignment horizontal="center" vertical="center" wrapText="1"/>
    </xf>
    <xf numFmtId="194" fontId="19" fillId="0" borderId="56" xfId="68" applyNumberFormat="1" applyFont="1" applyFill="1" applyBorder="1" applyAlignment="1">
      <alignment vertical="center"/>
    </xf>
    <xf numFmtId="178" fontId="19" fillId="0" borderId="20" xfId="56" applyNumberFormat="1" applyFont="1" applyBorder="1" applyAlignment="1">
      <alignment horizontal="right" vertical="center"/>
    </xf>
    <xf numFmtId="184" fontId="19" fillId="0" borderId="0" xfId="55" applyNumberFormat="1" applyFont="1" applyAlignment="1">
      <alignment vertical="center"/>
    </xf>
    <xf numFmtId="184" fontId="13" fillId="0" borderId="0" xfId="55" applyNumberFormat="1" applyFont="1" applyAlignment="1">
      <alignment vertical="center"/>
    </xf>
    <xf numFmtId="184" fontId="10" fillId="0" borderId="0" xfId="55" applyNumberFormat="1" applyAlignment="1">
      <alignment vertical="center"/>
    </xf>
    <xf numFmtId="184" fontId="49" fillId="0" borderId="0" xfId="55" applyNumberFormat="1" applyFont="1" applyAlignment="1">
      <alignment vertical="center"/>
    </xf>
    <xf numFmtId="190" fontId="19" fillId="0" borderId="0" xfId="55" applyNumberFormat="1" applyFont="1" applyAlignment="1">
      <alignment vertical="center"/>
    </xf>
    <xf numFmtId="190" fontId="13" fillId="0" borderId="0" xfId="55" applyNumberFormat="1" applyFont="1" applyAlignment="1">
      <alignment vertical="center"/>
    </xf>
    <xf numFmtId="190" fontId="10" fillId="0" borderId="0" xfId="55" applyNumberFormat="1" applyAlignment="1">
      <alignment vertical="center"/>
    </xf>
    <xf numFmtId="178" fontId="19" fillId="0" borderId="10" xfId="28" applyNumberFormat="1" applyFont="1" applyFill="1" applyBorder="1" applyAlignment="1">
      <alignment vertical="center"/>
    </xf>
    <xf numFmtId="194" fontId="19" fillId="0" borderId="29" xfId="68" applyNumberFormat="1" applyFont="1" applyFill="1" applyBorder="1" applyAlignment="1">
      <alignment vertical="center"/>
    </xf>
    <xf numFmtId="194" fontId="19" fillId="0" borderId="11" xfId="68" applyNumberFormat="1" applyFont="1" applyFill="1" applyBorder="1" applyAlignment="1">
      <alignment vertical="center"/>
    </xf>
    <xf numFmtId="38" fontId="19" fillId="0" borderId="36" xfId="68" applyFont="1" applyFill="1" applyBorder="1" applyAlignment="1">
      <alignment vertical="center"/>
    </xf>
    <xf numFmtId="178" fontId="19" fillId="0" borderId="36" xfId="56" applyNumberFormat="1" applyFont="1" applyBorder="1">
      <alignment vertical="center"/>
    </xf>
    <xf numFmtId="0" fontId="19" fillId="0" borderId="36" xfId="55" applyFont="1" applyBorder="1" applyAlignment="1">
      <alignment vertical="center"/>
    </xf>
    <xf numFmtId="178" fontId="19" fillId="0" borderId="0" xfId="55" applyNumberFormat="1" applyFont="1" applyAlignment="1">
      <alignment vertical="center"/>
    </xf>
    <xf numFmtId="190" fontId="49" fillId="0" borderId="0" xfId="55" applyNumberFormat="1" applyFont="1" applyAlignment="1">
      <alignment vertical="center"/>
    </xf>
    <xf numFmtId="180" fontId="0" fillId="0" borderId="0" xfId="55" applyNumberFormat="1" applyFont="1" applyAlignment="1">
      <alignment vertical="center"/>
    </xf>
    <xf numFmtId="38" fontId="19" fillId="0" borderId="134" xfId="34" applyFont="1" applyBorder="1" applyAlignment="1">
      <alignment horizontal="right" vertical="center"/>
    </xf>
    <xf numFmtId="38" fontId="19" fillId="0" borderId="108" xfId="34" applyFont="1" applyBorder="1">
      <alignment vertical="center"/>
    </xf>
    <xf numFmtId="194" fontId="19" fillId="0" borderId="46" xfId="68" applyNumberFormat="1" applyFont="1" applyFill="1" applyBorder="1" applyAlignment="1">
      <alignment vertical="center"/>
    </xf>
    <xf numFmtId="38" fontId="19" fillId="0" borderId="91" xfId="34" applyFont="1" applyFill="1" applyBorder="1" applyAlignment="1">
      <alignment vertical="center" shrinkToFit="1"/>
    </xf>
    <xf numFmtId="180" fontId="19" fillId="0" borderId="75" xfId="34" applyNumberFormat="1" applyFont="1" applyFill="1" applyBorder="1" applyAlignment="1">
      <alignment vertical="center" shrinkToFit="1"/>
    </xf>
    <xf numFmtId="38" fontId="19" fillId="0" borderId="75" xfId="34" applyFont="1" applyFill="1" applyBorder="1" applyAlignment="1">
      <alignment vertical="center" shrinkToFit="1"/>
    </xf>
    <xf numFmtId="38" fontId="19" fillId="0" borderId="92" xfId="34" applyFont="1" applyFill="1" applyBorder="1" applyAlignment="1">
      <alignment vertical="center" shrinkToFit="1"/>
    </xf>
    <xf numFmtId="38" fontId="19" fillId="0" borderId="74" xfId="34" applyFont="1" applyFill="1" applyBorder="1" applyAlignment="1">
      <alignment vertical="center" shrinkToFit="1"/>
    </xf>
    <xf numFmtId="38" fontId="19" fillId="0" borderId="75" xfId="34" applyFont="1" applyFill="1" applyBorder="1" applyAlignment="1">
      <alignment horizontal="right" vertical="center" shrinkToFit="1"/>
    </xf>
    <xf numFmtId="38" fontId="19" fillId="0" borderId="93" xfId="34" applyFont="1" applyFill="1" applyBorder="1" applyAlignment="1">
      <alignment vertical="center" shrinkToFit="1"/>
    </xf>
    <xf numFmtId="194" fontId="19" fillId="0" borderId="36" xfId="68" applyNumberFormat="1" applyFont="1" applyFill="1" applyBorder="1" applyAlignment="1">
      <alignment vertical="center"/>
    </xf>
    <xf numFmtId="194" fontId="19" fillId="0" borderId="35" xfId="68" applyNumberFormat="1" applyFont="1" applyFill="1" applyBorder="1" applyAlignment="1">
      <alignment vertical="center"/>
    </xf>
    <xf numFmtId="178" fontId="19" fillId="0" borderId="36" xfId="56" applyNumberFormat="1" applyFont="1" applyBorder="1" applyAlignment="1">
      <alignment horizontal="right" vertical="center"/>
    </xf>
    <xf numFmtId="178" fontId="19" fillId="0" borderId="52" xfId="56" applyNumberFormat="1" applyFont="1" applyBorder="1" applyAlignment="1">
      <alignment horizontal="right" vertical="center"/>
    </xf>
    <xf numFmtId="38" fontId="19" fillId="0" borderId="56" xfId="34" applyFont="1" applyBorder="1">
      <alignment vertical="center"/>
    </xf>
    <xf numFmtId="178" fontId="19" fillId="0" borderId="30" xfId="56" applyNumberFormat="1" applyFont="1" applyBorder="1">
      <alignment vertical="center"/>
    </xf>
    <xf numFmtId="38" fontId="19" fillId="0" borderId="21" xfId="68" applyFont="1" applyBorder="1" applyAlignment="1">
      <alignment horizontal="center" vertical="center"/>
    </xf>
    <xf numFmtId="178" fontId="19" fillId="0" borderId="11" xfId="56" applyNumberFormat="1" applyFont="1" applyBorder="1" applyAlignment="1">
      <alignment horizontal="center" vertical="center"/>
    </xf>
    <xf numFmtId="178" fontId="19" fillId="0" borderId="10" xfId="56" applyNumberFormat="1" applyFont="1" applyBorder="1" applyAlignment="1">
      <alignment horizontal="center" vertical="center"/>
    </xf>
    <xf numFmtId="0" fontId="19" fillId="0" borderId="139" xfId="55" applyFont="1" applyBorder="1" applyAlignment="1">
      <alignment vertical="center"/>
    </xf>
    <xf numFmtId="0" fontId="19" fillId="0" borderId="38" xfId="55" applyFont="1" applyBorder="1" applyAlignment="1">
      <alignment vertical="center"/>
    </xf>
    <xf numFmtId="0" fontId="19" fillId="0" borderId="39" xfId="55" applyFont="1" applyBorder="1" applyAlignment="1">
      <alignment vertical="center"/>
    </xf>
    <xf numFmtId="0" fontId="19" fillId="0" borderId="48" xfId="55" applyFont="1" applyBorder="1" applyAlignment="1">
      <alignment vertical="center"/>
    </xf>
    <xf numFmtId="180" fontId="19" fillId="0" borderId="48" xfId="55" applyNumberFormat="1" applyFont="1" applyBorder="1" applyAlignment="1">
      <alignment vertical="center"/>
    </xf>
    <xf numFmtId="178" fontId="19" fillId="0" borderId="41" xfId="28" applyNumberFormat="1" applyFont="1" applyFill="1" applyBorder="1" applyAlignment="1">
      <alignment vertical="center"/>
    </xf>
    <xf numFmtId="176" fontId="12" fillId="0" borderId="0" xfId="56" applyFont="1">
      <alignment vertical="center"/>
    </xf>
    <xf numFmtId="38" fontId="19" fillId="0" borderId="11" xfId="34" applyFont="1" applyBorder="1" applyAlignment="1">
      <alignment horizontal="center" vertical="center"/>
    </xf>
    <xf numFmtId="178" fontId="19" fillId="0" borderId="79" xfId="0" applyNumberFormat="1" applyFont="1" applyBorder="1" applyAlignment="1">
      <alignment horizontal="center" vertical="center"/>
    </xf>
    <xf numFmtId="176" fontId="19" fillId="0" borderId="140" xfId="0" applyFont="1" applyBorder="1" applyAlignment="1">
      <alignment horizontal="center" vertical="center" wrapText="1"/>
    </xf>
    <xf numFmtId="180" fontId="19" fillId="0" borderId="140" xfId="0" applyNumberFormat="1" applyFont="1" applyBorder="1">
      <alignment vertical="center"/>
    </xf>
    <xf numFmtId="176" fontId="19" fillId="0" borderId="88" xfId="0" applyFont="1" applyBorder="1">
      <alignment vertical="center"/>
    </xf>
    <xf numFmtId="178" fontId="19" fillId="0" borderId="82" xfId="0" applyNumberFormat="1" applyFont="1" applyBorder="1" applyAlignment="1">
      <alignment horizontal="center" vertical="center"/>
    </xf>
    <xf numFmtId="178" fontId="19" fillId="0" borderId="117" xfId="0" applyNumberFormat="1" applyFont="1" applyBorder="1">
      <alignment vertical="center"/>
    </xf>
    <xf numFmtId="177" fontId="19" fillId="0" borderId="114" xfId="0" applyNumberFormat="1" applyFont="1" applyBorder="1" applyAlignment="1">
      <alignment horizontal="right" vertical="center"/>
    </xf>
    <xf numFmtId="176" fontId="19" fillId="0" borderId="141" xfId="0" applyFont="1" applyBorder="1">
      <alignment vertical="center"/>
    </xf>
    <xf numFmtId="178" fontId="19" fillId="0" borderId="26" xfId="0" applyNumberFormat="1" applyFont="1" applyBorder="1">
      <alignment vertical="center"/>
    </xf>
    <xf numFmtId="176" fontId="19" fillId="0" borderId="142" xfId="0" applyFont="1" applyBorder="1">
      <alignment vertical="center"/>
    </xf>
    <xf numFmtId="178" fontId="19" fillId="0" borderId="131" xfId="0" applyNumberFormat="1" applyFont="1" applyBorder="1">
      <alignment vertical="center"/>
    </xf>
    <xf numFmtId="38" fontId="19" fillId="0" borderId="64" xfId="34" applyFont="1" applyFill="1" applyBorder="1" applyAlignment="1">
      <alignment horizontal="right" vertical="center" shrinkToFit="1"/>
    </xf>
    <xf numFmtId="38" fontId="19" fillId="0" borderId="109" xfId="34" applyFont="1" applyFill="1" applyBorder="1" applyAlignment="1">
      <alignment horizontal="center" vertical="center" shrinkToFit="1"/>
    </xf>
    <xf numFmtId="178" fontId="19" fillId="0" borderId="29" xfId="34" applyNumberFormat="1" applyFont="1" applyBorder="1">
      <alignment vertical="center"/>
    </xf>
    <xf numFmtId="0" fontId="19" fillId="0" borderId="72" xfId="0" applyNumberFormat="1" applyFont="1" applyBorder="1">
      <alignment vertical="center"/>
    </xf>
    <xf numFmtId="176" fontId="21" fillId="0" borderId="20" xfId="0" applyFont="1" applyBorder="1" applyAlignment="1">
      <alignment horizontal="center" vertical="center"/>
    </xf>
    <xf numFmtId="38" fontId="19" fillId="0" borderId="127" xfId="34" applyFont="1" applyBorder="1">
      <alignment vertical="center"/>
    </xf>
    <xf numFmtId="178" fontId="19" fillId="0" borderId="20" xfId="56" applyNumberFormat="1" applyFont="1" applyBorder="1" applyAlignment="1">
      <alignment horizontal="center" vertical="center"/>
    </xf>
    <xf numFmtId="179" fontId="58" fillId="0" borderId="0" xfId="0" applyNumberFormat="1" applyFont="1" applyAlignment="1">
      <alignment horizontal="left" vertical="center"/>
    </xf>
    <xf numFmtId="176" fontId="59" fillId="0" borderId="0" xfId="0" applyFont="1" applyAlignment="1">
      <alignment vertical="top"/>
    </xf>
    <xf numFmtId="179" fontId="60" fillId="0" borderId="0" xfId="0" applyNumberFormat="1" applyFont="1" applyAlignment="1">
      <alignment horizontal="left" vertical="center"/>
    </xf>
    <xf numFmtId="179" fontId="61" fillId="0" borderId="0" xfId="0" applyNumberFormat="1" applyFont="1" applyAlignment="1">
      <alignment horizontal="left" vertical="center"/>
    </xf>
    <xf numFmtId="179" fontId="63" fillId="0" borderId="0" xfId="0" applyNumberFormat="1" applyFont="1" applyAlignment="1">
      <alignment horizontal="center" vertical="center"/>
    </xf>
    <xf numFmtId="179" fontId="64" fillId="0" borderId="0" xfId="0" applyNumberFormat="1" applyFont="1" applyAlignment="1">
      <alignment horizontal="right" vertical="center"/>
    </xf>
    <xf numFmtId="179" fontId="64" fillId="0" borderId="0" xfId="0" applyNumberFormat="1" applyFont="1">
      <alignment vertical="center"/>
    </xf>
    <xf numFmtId="179" fontId="65" fillId="0" borderId="0" xfId="0" applyNumberFormat="1" applyFont="1" applyAlignment="1">
      <alignment horizontal="right" vertical="center"/>
    </xf>
    <xf numFmtId="179" fontId="66" fillId="0" borderId="0" xfId="0" applyNumberFormat="1" applyFont="1" applyAlignment="1">
      <alignment horizontal="center" vertical="center"/>
    </xf>
    <xf numFmtId="179" fontId="63" fillId="0" borderId="13" xfId="0" applyNumberFormat="1" applyFont="1" applyBorder="1" applyAlignment="1">
      <alignment horizontal="center" vertical="center"/>
    </xf>
    <xf numFmtId="179" fontId="62" fillId="0" borderId="13" xfId="0" applyNumberFormat="1" applyFont="1" applyBorder="1" applyAlignment="1">
      <alignment horizontal="center" vertical="center"/>
    </xf>
    <xf numFmtId="179" fontId="62" fillId="0" borderId="10" xfId="0" applyNumberFormat="1" applyFont="1" applyBorder="1" applyAlignment="1">
      <alignment horizontal="center" vertical="center"/>
    </xf>
    <xf numFmtId="182" fontId="66" fillId="0" borderId="0" xfId="0" applyNumberFormat="1" applyFont="1" applyAlignment="1">
      <alignment horizontal="right" vertical="center"/>
    </xf>
    <xf numFmtId="179" fontId="63" fillId="0" borderId="59" xfId="0" applyNumberFormat="1" applyFont="1" applyBorder="1" applyAlignment="1">
      <alignment horizontal="center" vertical="center"/>
    </xf>
    <xf numFmtId="38" fontId="63" fillId="0" borderId="59" xfId="34" applyFont="1" applyBorder="1" applyAlignment="1">
      <alignment horizontal="right" vertical="center"/>
    </xf>
    <xf numFmtId="191" fontId="63" fillId="0" borderId="89" xfId="0" applyNumberFormat="1" applyFont="1" applyBorder="1" applyAlignment="1">
      <alignment horizontal="right" vertical="center"/>
    </xf>
    <xf numFmtId="191" fontId="63" fillId="0" borderId="59" xfId="34" applyNumberFormat="1" applyFont="1" applyBorder="1" applyAlignment="1">
      <alignment horizontal="right" vertical="center"/>
    </xf>
    <xf numFmtId="191" fontId="63" fillId="0" borderId="59" xfId="0" applyNumberFormat="1" applyFont="1" applyBorder="1" applyAlignment="1">
      <alignment horizontal="right" vertical="center"/>
    </xf>
    <xf numFmtId="191" fontId="63" fillId="0" borderId="0" xfId="0" applyNumberFormat="1" applyFont="1" applyAlignment="1">
      <alignment horizontal="right" vertical="center"/>
    </xf>
    <xf numFmtId="191" fontId="63" fillId="0" borderId="59" xfId="0" applyNumberFormat="1" applyFont="1" applyBorder="1" applyAlignment="1">
      <alignment horizontal="center" vertical="center"/>
    </xf>
    <xf numFmtId="179" fontId="63" fillId="0" borderId="59" xfId="34" applyNumberFormat="1" applyFont="1" applyBorder="1" applyAlignment="1">
      <alignment horizontal="right" vertical="center"/>
    </xf>
    <xf numFmtId="179" fontId="63" fillId="0" borderId="59" xfId="0" applyNumberFormat="1" applyFont="1" applyBorder="1" applyAlignment="1">
      <alignment horizontal="right" vertical="center"/>
    </xf>
    <xf numFmtId="179" fontId="63" fillId="0" borderId="60" xfId="0" applyNumberFormat="1" applyFont="1" applyBorder="1" applyAlignment="1">
      <alignment horizontal="center" vertical="center"/>
    </xf>
    <xf numFmtId="38" fontId="63" fillId="0" borderId="60" xfId="34" applyFont="1" applyBorder="1" applyAlignment="1">
      <alignment horizontal="right" vertical="center"/>
    </xf>
    <xf numFmtId="191" fontId="63" fillId="0" borderId="60" xfId="0" applyNumberFormat="1" applyFont="1" applyBorder="1" applyAlignment="1">
      <alignment horizontal="right" vertical="center"/>
    </xf>
    <xf numFmtId="191" fontId="63" fillId="0" borderId="60" xfId="34" applyNumberFormat="1" applyFont="1" applyBorder="1" applyAlignment="1">
      <alignment horizontal="right" vertical="center"/>
    </xf>
    <xf numFmtId="191" fontId="63" fillId="0" borderId="60" xfId="0" applyNumberFormat="1" applyFont="1" applyBorder="1" applyAlignment="1">
      <alignment horizontal="center" vertical="center"/>
    </xf>
    <xf numFmtId="179" fontId="63" fillId="0" borderId="60" xfId="34" applyNumberFormat="1" applyFont="1" applyBorder="1" applyAlignment="1">
      <alignment horizontal="right" vertical="center"/>
    </xf>
    <xf numFmtId="179" fontId="63" fillId="0" borderId="60" xfId="0" applyNumberFormat="1" applyFont="1" applyBorder="1" applyAlignment="1">
      <alignment horizontal="right" vertical="center"/>
    </xf>
    <xf numFmtId="179" fontId="63" fillId="0" borderId="62" xfId="0" applyNumberFormat="1" applyFont="1" applyBorder="1" applyAlignment="1">
      <alignment horizontal="center" vertical="center"/>
    </xf>
    <xf numFmtId="38" fontId="63" fillId="0" borderId="62" xfId="34" applyFont="1" applyBorder="1" applyAlignment="1">
      <alignment horizontal="right" vertical="center"/>
    </xf>
    <xf numFmtId="191" fontId="63" fillId="0" borderId="62" xfId="0" applyNumberFormat="1" applyFont="1" applyBorder="1" applyAlignment="1">
      <alignment horizontal="right" vertical="center"/>
    </xf>
    <xf numFmtId="191" fontId="63" fillId="0" borderId="62" xfId="34" applyNumberFormat="1" applyFont="1" applyBorder="1" applyAlignment="1">
      <alignment horizontal="right" vertical="center"/>
    </xf>
    <xf numFmtId="191" fontId="63" fillId="0" borderId="62" xfId="0" applyNumberFormat="1" applyFont="1" applyBorder="1" applyAlignment="1">
      <alignment horizontal="center" vertical="center"/>
    </xf>
    <xf numFmtId="179" fontId="63" fillId="0" borderId="62" xfId="34" applyNumberFormat="1" applyFont="1" applyBorder="1" applyAlignment="1">
      <alignment horizontal="right" vertical="center"/>
    </xf>
    <xf numFmtId="179" fontId="63" fillId="0" borderId="62" xfId="0" applyNumberFormat="1" applyFont="1" applyBorder="1" applyAlignment="1">
      <alignment horizontal="right" vertical="center"/>
    </xf>
    <xf numFmtId="179" fontId="63" fillId="0" borderId="10" xfId="0" applyNumberFormat="1" applyFont="1" applyBorder="1" applyAlignment="1">
      <alignment horizontal="center" vertical="center"/>
    </xf>
    <xf numFmtId="38" fontId="63" fillId="0" borderId="10" xfId="34" applyFont="1" applyBorder="1" applyAlignment="1">
      <alignment horizontal="right" vertical="center"/>
    </xf>
    <xf numFmtId="191" fontId="63" fillId="0" borderId="10" xfId="0" applyNumberFormat="1" applyFont="1" applyBorder="1" applyAlignment="1">
      <alignment horizontal="right" vertical="center"/>
    </xf>
    <xf numFmtId="191" fontId="63" fillId="0" borderId="10" xfId="0" applyNumberFormat="1" applyFont="1" applyBorder="1" applyAlignment="1">
      <alignment horizontal="center" vertical="center"/>
    </xf>
    <xf numFmtId="179" fontId="63" fillId="0" borderId="10" xfId="0" applyNumberFormat="1" applyFont="1" applyBorder="1" applyAlignment="1">
      <alignment horizontal="right" vertical="center"/>
    </xf>
    <xf numFmtId="181" fontId="66" fillId="0" borderId="0" xfId="0" applyNumberFormat="1" applyFont="1" applyAlignment="1">
      <alignment horizontal="right" vertical="center"/>
    </xf>
    <xf numFmtId="179" fontId="62" fillId="0" borderId="11" xfId="0" applyNumberFormat="1" applyFont="1" applyBorder="1" applyAlignment="1">
      <alignment horizontal="center" vertical="center" wrapText="1"/>
    </xf>
    <xf numFmtId="181" fontId="63" fillId="0" borderId="11" xfId="0" applyNumberFormat="1" applyFont="1" applyBorder="1" applyAlignment="1">
      <alignment horizontal="right" vertical="center"/>
    </xf>
    <xf numFmtId="192" fontId="63" fillId="0" borderId="11" xfId="0" applyNumberFormat="1" applyFont="1" applyBorder="1" applyAlignment="1">
      <alignment horizontal="right" vertical="center"/>
    </xf>
    <xf numFmtId="181" fontId="63" fillId="0" borderId="26" xfId="0" applyNumberFormat="1" applyFont="1" applyBorder="1" applyAlignment="1">
      <alignment horizontal="right" vertical="center"/>
    </xf>
    <xf numFmtId="191" fontId="62" fillId="0" borderId="11" xfId="0" applyNumberFormat="1" applyFont="1" applyBorder="1" applyAlignment="1">
      <alignment horizontal="center" vertical="center" wrapText="1"/>
    </xf>
    <xf numFmtId="179" fontId="63" fillId="0" borderId="10" xfId="34" applyNumberFormat="1" applyFont="1" applyBorder="1" applyAlignment="1">
      <alignment horizontal="right" vertical="center"/>
    </xf>
    <xf numFmtId="182" fontId="63" fillId="0" borderId="10" xfId="0" applyNumberFormat="1" applyFont="1" applyBorder="1" applyAlignment="1">
      <alignment horizontal="right" vertical="center"/>
    </xf>
    <xf numFmtId="193" fontId="63" fillId="0" borderId="10" xfId="0" applyNumberFormat="1" applyFont="1" applyBorder="1" applyAlignment="1">
      <alignment horizontal="right" vertical="center"/>
    </xf>
    <xf numFmtId="38" fontId="63" fillId="0" borderId="73" xfId="34" applyFont="1" applyBorder="1" applyAlignment="1">
      <alignment horizontal="right" vertical="center"/>
    </xf>
    <xf numFmtId="179" fontId="66" fillId="0" borderId="0" xfId="0" applyNumberFormat="1" applyFont="1" applyAlignment="1">
      <alignment horizontal="right" vertical="center"/>
    </xf>
    <xf numFmtId="179" fontId="63" fillId="0" borderId="0" xfId="0" applyNumberFormat="1" applyFont="1" applyAlignment="1">
      <alignment horizontal="right" vertical="center"/>
    </xf>
    <xf numFmtId="191" fontId="63" fillId="0" borderId="0" xfId="34" applyNumberFormat="1" applyFont="1" applyAlignment="1">
      <alignment horizontal="right" vertical="center"/>
    </xf>
    <xf numFmtId="38" fontId="63" fillId="0" borderId="89" xfId="34" applyFont="1" applyBorder="1" applyAlignment="1">
      <alignment horizontal="right" vertical="center"/>
    </xf>
    <xf numFmtId="179" fontId="64" fillId="0" borderId="0" xfId="0" applyNumberFormat="1" applyFont="1" applyAlignment="1">
      <alignment horizontal="center" vertical="center"/>
    </xf>
    <xf numFmtId="191" fontId="64" fillId="0" borderId="0" xfId="0" applyNumberFormat="1" applyFont="1" applyAlignment="1">
      <alignment horizontal="right" vertical="center"/>
    </xf>
    <xf numFmtId="191" fontId="64" fillId="0" borderId="0" xfId="34" applyNumberFormat="1" applyFont="1" applyAlignment="1">
      <alignment horizontal="right" vertical="center"/>
    </xf>
    <xf numFmtId="38" fontId="64" fillId="0" borderId="0" xfId="34" applyFont="1" applyAlignment="1">
      <alignment horizontal="right" vertical="center"/>
    </xf>
    <xf numFmtId="195" fontId="63" fillId="0" borderId="11" xfId="0" applyNumberFormat="1" applyFont="1" applyBorder="1" applyAlignment="1">
      <alignment horizontal="right" vertical="center"/>
    </xf>
    <xf numFmtId="178" fontId="19" fillId="0" borderId="36" xfId="56" applyNumberFormat="1" applyFont="1" applyBorder="1" applyAlignment="1">
      <alignment horizontal="center" vertical="center"/>
    </xf>
    <xf numFmtId="178" fontId="19" fillId="0" borderId="52" xfId="56" applyNumberFormat="1" applyFont="1" applyBorder="1" applyAlignment="1">
      <alignment horizontal="center" vertical="center"/>
    </xf>
    <xf numFmtId="9" fontId="19" fillId="0" borderId="20" xfId="69" applyFont="1" applyBorder="1" applyAlignment="1">
      <alignment horizontal="center" vertical="center"/>
    </xf>
    <xf numFmtId="9" fontId="19" fillId="0" borderId="36" xfId="69" applyFont="1" applyBorder="1" applyAlignment="1">
      <alignment horizontal="center" vertical="center"/>
    </xf>
    <xf numFmtId="9" fontId="19" fillId="0" borderId="12" xfId="69" applyFont="1" applyBorder="1" applyAlignment="1">
      <alignment horizontal="center" vertical="center"/>
    </xf>
    <xf numFmtId="176" fontId="17" fillId="0" borderId="12" xfId="56" applyFont="1" applyBorder="1" applyAlignment="1">
      <alignment horizontal="center" vertical="center"/>
    </xf>
    <xf numFmtId="176" fontId="17" fillId="0" borderId="10" xfId="56" applyFont="1" applyBorder="1" applyAlignment="1">
      <alignment horizontal="center" vertical="center"/>
    </xf>
    <xf numFmtId="176" fontId="17" fillId="0" borderId="15" xfId="56" applyFont="1" applyBorder="1" applyAlignment="1">
      <alignment horizontal="center" vertical="center"/>
    </xf>
    <xf numFmtId="178" fontId="19" fillId="0" borderId="20" xfId="56" applyNumberFormat="1" applyFont="1" applyBorder="1" applyAlignment="1">
      <alignment horizontal="center" vertical="center"/>
    </xf>
    <xf numFmtId="9" fontId="19" fillId="0" borderId="20" xfId="56" applyNumberFormat="1" applyFont="1" applyBorder="1" applyAlignment="1">
      <alignment horizontal="center" vertical="center"/>
    </xf>
    <xf numFmtId="9" fontId="19" fillId="0" borderId="36" xfId="56" applyNumberFormat="1" applyFont="1" applyBorder="1" applyAlignment="1">
      <alignment horizontal="center" vertical="center"/>
    </xf>
    <xf numFmtId="176" fontId="17" fillId="0" borderId="29" xfId="56" applyFont="1" applyBorder="1" applyAlignment="1">
      <alignment horizontal="right" vertical="center"/>
    </xf>
    <xf numFmtId="176" fontId="20" fillId="0" borderId="13" xfId="56" applyFont="1" applyBorder="1" applyAlignment="1">
      <alignment horizontal="center" vertical="center"/>
    </xf>
    <xf numFmtId="176" fontId="20" fillId="0" borderId="23" xfId="56" applyFont="1" applyBorder="1" applyAlignment="1">
      <alignment horizontal="center" vertical="center"/>
    </xf>
    <xf numFmtId="176" fontId="17" fillId="0" borderId="20" xfId="56" applyFont="1" applyBorder="1" applyAlignment="1">
      <alignment horizontal="center" vertical="center"/>
    </xf>
    <xf numFmtId="176" fontId="17" fillId="0" borderId="36" xfId="56" applyFont="1" applyBorder="1" applyAlignment="1">
      <alignment horizontal="center" vertical="center"/>
    </xf>
    <xf numFmtId="176" fontId="17" fillId="0" borderId="52" xfId="56" applyFont="1" applyBorder="1" applyAlignment="1">
      <alignment horizontal="center" vertical="center"/>
    </xf>
    <xf numFmtId="176" fontId="19" fillId="0" borderId="20" xfId="56" applyFont="1" applyBorder="1" applyAlignment="1">
      <alignment horizontal="center" vertical="center"/>
    </xf>
    <xf numFmtId="176" fontId="19" fillId="0" borderId="36" xfId="56" applyFont="1" applyBorder="1" applyAlignment="1">
      <alignment horizontal="center" vertical="center"/>
    </xf>
    <xf numFmtId="176" fontId="19" fillId="0" borderId="12" xfId="56" applyFont="1" applyBorder="1" applyAlignment="1">
      <alignment horizontal="center" vertical="center"/>
    </xf>
    <xf numFmtId="176" fontId="17" fillId="0" borderId="13" xfId="56" applyFont="1" applyBorder="1" applyAlignment="1">
      <alignment horizontal="center" vertical="center"/>
    </xf>
    <xf numFmtId="176" fontId="17" fillId="0" borderId="23" xfId="56" applyFont="1" applyBorder="1" applyAlignment="1">
      <alignment horizontal="center" vertical="center"/>
    </xf>
    <xf numFmtId="176" fontId="17" fillId="0" borderId="22" xfId="56" applyFont="1" applyBorder="1" applyAlignment="1">
      <alignment horizontal="center" vertical="center"/>
    </xf>
    <xf numFmtId="176" fontId="17" fillId="0" borderId="54" xfId="56" applyFont="1" applyBorder="1" applyAlignment="1">
      <alignment horizontal="center" vertical="center"/>
    </xf>
    <xf numFmtId="176" fontId="17" fillId="0" borderId="51" xfId="56" applyFont="1" applyBorder="1" applyAlignment="1">
      <alignment horizontal="center" vertical="center"/>
    </xf>
    <xf numFmtId="0" fontId="17" fillId="0" borderId="29" xfId="55" applyFont="1" applyBorder="1" applyAlignment="1">
      <alignment horizontal="right" vertical="center"/>
    </xf>
    <xf numFmtId="176" fontId="19" fillId="0" borderId="72" xfId="0" applyFont="1" applyBorder="1" applyAlignment="1">
      <alignment horizontal="center" vertical="center" shrinkToFit="1"/>
    </xf>
    <xf numFmtId="176" fontId="19" fillId="0" borderId="78" xfId="0" applyFont="1" applyBorder="1" applyAlignment="1">
      <alignment horizontal="center" vertical="center" shrinkToFit="1"/>
    </xf>
    <xf numFmtId="176" fontId="19" fillId="0" borderId="29" xfId="0" applyFont="1" applyBorder="1" applyAlignment="1">
      <alignment horizontal="right" vertical="center"/>
    </xf>
    <xf numFmtId="176" fontId="19" fillId="0" borderId="119" xfId="0" applyFont="1" applyBorder="1" applyAlignment="1">
      <alignment horizontal="center" vertical="center" textRotation="255" shrinkToFit="1"/>
    </xf>
    <xf numFmtId="176" fontId="19" fillId="0" borderId="49" xfId="0" applyFont="1" applyBorder="1" applyAlignment="1">
      <alignment horizontal="center" vertical="center" textRotation="255" shrinkToFit="1"/>
    </xf>
    <xf numFmtId="176" fontId="19" fillId="0" borderId="11" xfId="0" applyFont="1" applyBorder="1" applyAlignment="1">
      <alignment horizontal="center" vertical="center" textRotation="255" shrinkToFit="1"/>
    </xf>
    <xf numFmtId="176" fontId="19" fillId="0" borderId="89" xfId="0" applyFont="1" applyBorder="1" applyAlignment="1">
      <alignment horizontal="center" vertical="center" shrinkToFit="1"/>
    </xf>
    <xf numFmtId="176" fontId="19" fillId="0" borderId="94" xfId="0" applyFont="1" applyBorder="1" applyAlignment="1">
      <alignment horizontal="center" vertical="center" shrinkToFit="1"/>
    </xf>
    <xf numFmtId="176" fontId="19" fillId="0" borderId="95" xfId="0" applyFont="1" applyBorder="1" applyAlignment="1">
      <alignment horizontal="center" vertical="center" shrinkToFit="1"/>
    </xf>
    <xf numFmtId="176" fontId="19" fillId="0" borderId="85" xfId="0" applyFont="1" applyBorder="1" applyAlignment="1">
      <alignment horizontal="center" vertical="center" shrinkToFit="1"/>
    </xf>
    <xf numFmtId="176" fontId="19" fillId="0" borderId="68" xfId="0" applyFont="1" applyBorder="1" applyAlignment="1">
      <alignment horizontal="center" vertical="center" shrinkToFit="1"/>
    </xf>
    <xf numFmtId="176" fontId="19" fillId="0" borderId="69" xfId="0" applyFont="1" applyBorder="1" applyAlignment="1">
      <alignment horizontal="center" vertical="center" shrinkToFit="1"/>
    </xf>
    <xf numFmtId="176" fontId="19" fillId="0" borderId="70" xfId="0" applyFont="1" applyBorder="1" applyAlignment="1">
      <alignment horizontal="center" vertical="center" shrinkToFit="1"/>
    </xf>
    <xf numFmtId="176" fontId="19" fillId="0" borderId="76" xfId="0" applyFont="1" applyBorder="1" applyAlignment="1">
      <alignment horizontal="center" vertical="center" shrinkToFit="1"/>
    </xf>
    <xf numFmtId="176" fontId="19" fillId="0" borderId="71" xfId="0" applyFont="1" applyBorder="1" applyAlignment="1">
      <alignment horizontal="center" vertical="center" shrinkToFit="1"/>
    </xf>
    <xf numFmtId="176" fontId="19" fillId="0" borderId="77" xfId="0" applyFont="1" applyBorder="1" applyAlignment="1">
      <alignment horizontal="center" vertical="center" shrinkToFit="1"/>
    </xf>
    <xf numFmtId="176" fontId="19" fillId="0" borderId="72" xfId="0" applyFont="1" applyBorder="1" applyAlignment="1">
      <alignment horizontal="center" vertical="center" wrapText="1"/>
    </xf>
    <xf numFmtId="176" fontId="19" fillId="0" borderId="78" xfId="0" applyFont="1" applyBorder="1" applyAlignment="1">
      <alignment horizontal="center" vertical="center" wrapText="1"/>
    </xf>
    <xf numFmtId="176" fontId="20" fillId="0" borderId="72" xfId="0" applyFont="1" applyBorder="1" applyAlignment="1">
      <alignment horizontal="center" vertical="center" wrapText="1"/>
    </xf>
    <xf numFmtId="176" fontId="20" fillId="0" borderId="78" xfId="0" applyFont="1" applyBorder="1" applyAlignment="1">
      <alignment horizontal="center" vertical="center" wrapText="1"/>
    </xf>
    <xf numFmtId="176" fontId="21" fillId="0" borderId="72" xfId="0" applyFont="1" applyBorder="1" applyAlignment="1">
      <alignment horizontal="center" vertical="center" wrapText="1"/>
    </xf>
    <xf numFmtId="176" fontId="21" fillId="0" borderId="78" xfId="0" applyFont="1" applyBorder="1" applyAlignment="1">
      <alignment horizontal="center" vertical="center" wrapText="1"/>
    </xf>
    <xf numFmtId="176" fontId="0" fillId="0" borderId="11" xfId="0" applyBorder="1" applyAlignment="1">
      <alignment horizontal="center" vertical="center" textRotation="255" shrinkToFit="1"/>
    </xf>
    <xf numFmtId="176" fontId="19" fillId="0" borderId="63" xfId="0" applyFont="1" applyBorder="1" applyAlignment="1">
      <alignment horizontal="center" vertical="center" shrinkToFit="1"/>
    </xf>
    <xf numFmtId="176" fontId="19" fillId="0" borderId="64" xfId="0" applyFont="1" applyBorder="1" applyAlignment="1">
      <alignment horizontal="center" vertical="center" shrinkToFit="1"/>
    </xf>
    <xf numFmtId="176" fontId="19" fillId="0" borderId="65" xfId="0" applyFont="1" applyBorder="1" applyAlignment="1">
      <alignment horizontal="center" vertical="center" shrinkToFit="1"/>
    </xf>
    <xf numFmtId="176" fontId="0" fillId="0" borderId="68" xfId="0" applyBorder="1" applyAlignment="1">
      <alignment horizontal="center" vertical="center" shrinkToFit="1"/>
    </xf>
    <xf numFmtId="176" fontId="0" fillId="0" borderId="69" xfId="0" applyBorder="1" applyAlignment="1">
      <alignment horizontal="center" vertical="center" shrinkToFit="1"/>
    </xf>
    <xf numFmtId="176" fontId="0" fillId="0" borderId="76" xfId="0" applyBorder="1" applyAlignment="1">
      <alignment horizontal="center" vertical="center"/>
    </xf>
    <xf numFmtId="191" fontId="63" fillId="0" borderId="49" xfId="0" applyNumberFormat="1" applyFont="1" applyBorder="1" applyAlignment="1">
      <alignment horizontal="center" vertical="center"/>
    </xf>
    <xf numFmtId="191" fontId="63" fillId="0" borderId="11" xfId="0" applyNumberFormat="1" applyFont="1" applyBorder="1" applyAlignment="1">
      <alignment horizontal="center" vertical="center"/>
    </xf>
    <xf numFmtId="179" fontId="63" fillId="0" borderId="119" xfId="0" applyNumberFormat="1" applyFont="1" applyBorder="1" applyAlignment="1">
      <alignment horizontal="center" vertical="center"/>
    </xf>
    <xf numFmtId="179" fontId="63" fillId="0" borderId="49" xfId="0" applyNumberFormat="1" applyFont="1" applyBorder="1" applyAlignment="1">
      <alignment horizontal="center" vertical="center"/>
    </xf>
    <xf numFmtId="179" fontId="63" fillId="0" borderId="11" xfId="0" applyNumberFormat="1" applyFont="1" applyBorder="1" applyAlignment="1">
      <alignment horizontal="center" vertical="center"/>
    </xf>
    <xf numFmtId="191" fontId="63" fillId="0" borderId="14" xfId="0" applyNumberFormat="1" applyFont="1" applyBorder="1" applyAlignment="1">
      <alignment horizontal="center" vertical="center"/>
    </xf>
    <xf numFmtId="38" fontId="62" fillId="0" borderId="29" xfId="34" applyFont="1" applyBorder="1" applyAlignment="1">
      <alignment horizontal="right" vertical="center"/>
    </xf>
    <xf numFmtId="179" fontId="62" fillId="0" borderId="0" xfId="0" applyNumberFormat="1" applyFont="1" applyAlignment="1">
      <alignment horizontal="right" vertical="center"/>
    </xf>
    <xf numFmtId="179" fontId="63" fillId="0" borderId="54" xfId="0" applyNumberFormat="1" applyFont="1" applyBorder="1" applyAlignment="1">
      <alignment horizontal="center" vertical="center"/>
    </xf>
    <xf numFmtId="179" fontId="63" fillId="0" borderId="55" xfId="0" applyNumberFormat="1" applyFont="1" applyBorder="1" applyAlignment="1">
      <alignment horizontal="center" vertical="center"/>
    </xf>
    <xf numFmtId="179" fontId="63" fillId="0" borderId="26" xfId="0" applyNumberFormat="1" applyFont="1" applyBorder="1" applyAlignment="1">
      <alignment horizontal="center" vertical="center"/>
    </xf>
    <xf numFmtId="179" fontId="63" fillId="0" borderId="28" xfId="0" applyNumberFormat="1" applyFont="1" applyBorder="1" applyAlignment="1">
      <alignment horizontal="center" vertical="center"/>
    </xf>
    <xf numFmtId="179" fontId="63" fillId="0" borderId="13" xfId="0" applyNumberFormat="1" applyFont="1" applyBorder="1" applyAlignment="1">
      <alignment horizontal="center" vertical="center"/>
    </xf>
    <xf numFmtId="179" fontId="63" fillId="0" borderId="36" xfId="0" applyNumberFormat="1" applyFont="1" applyBorder="1" applyAlignment="1">
      <alignment horizontal="center" vertical="center"/>
    </xf>
    <xf numFmtId="179" fontId="63" fillId="0" borderId="12" xfId="0" applyNumberFormat="1" applyFont="1" applyBorder="1" applyAlignment="1">
      <alignment horizontal="center" vertical="center"/>
    </xf>
    <xf numFmtId="179" fontId="63" fillId="0" borderId="36" xfId="0" applyNumberFormat="1" applyFont="1" applyBorder="1" applyAlignment="1">
      <alignment horizontal="center" vertical="center" wrapText="1"/>
    </xf>
    <xf numFmtId="179" fontId="63" fillId="0" borderId="12" xfId="0" applyNumberFormat="1" applyFont="1" applyBorder="1" applyAlignment="1">
      <alignment horizontal="center" vertical="center" wrapText="1"/>
    </xf>
    <xf numFmtId="179" fontId="63" fillId="0" borderId="39" xfId="0" applyNumberFormat="1" applyFont="1" applyBorder="1" applyAlignment="1">
      <alignment horizontal="center" vertical="center"/>
    </xf>
    <xf numFmtId="179" fontId="63" fillId="0" borderId="38" xfId="0" applyNumberFormat="1" applyFont="1" applyBorder="1" applyAlignment="1">
      <alignment horizontal="center" vertical="center"/>
    </xf>
    <xf numFmtId="179" fontId="63" fillId="0" borderId="13" xfId="0" applyNumberFormat="1" applyFont="1" applyBorder="1" applyAlignment="1">
      <alignment horizontal="center" vertical="center" wrapText="1"/>
    </xf>
    <xf numFmtId="176" fontId="17" fillId="0" borderId="49" xfId="0" applyFont="1" applyBorder="1" applyAlignment="1">
      <alignment horizontal="center" vertical="center"/>
    </xf>
    <xf numFmtId="176" fontId="17" fillId="0" borderId="11" xfId="0" applyFont="1" applyBorder="1" applyAlignment="1">
      <alignment horizontal="center" vertical="center"/>
    </xf>
    <xf numFmtId="176" fontId="21" fillId="0" borderId="10" xfId="0" applyFont="1" applyBorder="1" applyAlignment="1">
      <alignment horizontal="center" vertical="center" wrapText="1"/>
    </xf>
    <xf numFmtId="176" fontId="21" fillId="0" borderId="10" xfId="0" applyFont="1" applyBorder="1" applyAlignment="1">
      <alignment horizontal="center" vertical="center"/>
    </xf>
    <xf numFmtId="176" fontId="21" fillId="0" borderId="21" xfId="0" applyFont="1" applyBorder="1" applyAlignment="1">
      <alignment horizontal="center" vertical="center" wrapText="1"/>
    </xf>
    <xf numFmtId="176" fontId="19" fillId="0" borderId="11" xfId="0" applyFont="1" applyBorder="1" applyAlignment="1">
      <alignment horizontal="center" vertical="center"/>
    </xf>
    <xf numFmtId="176" fontId="19" fillId="0" borderId="26" xfId="0" applyFont="1" applyBorder="1" applyAlignment="1">
      <alignment horizontal="center" vertical="center"/>
    </xf>
    <xf numFmtId="176" fontId="19" fillId="0" borderId="10" xfId="0" applyFont="1" applyBorder="1" applyAlignment="1">
      <alignment horizontal="center" vertical="center"/>
    </xf>
    <xf numFmtId="176" fontId="19" fillId="0" borderId="13" xfId="0" applyFont="1" applyBorder="1" applyAlignment="1">
      <alignment horizontal="center" vertical="center"/>
    </xf>
    <xf numFmtId="176" fontId="17" fillId="0" borderId="49" xfId="0" applyFont="1" applyBorder="1" applyAlignment="1">
      <alignment horizontal="center" vertical="center" textRotation="255"/>
    </xf>
    <xf numFmtId="176" fontId="21" fillId="0" borderId="11" xfId="0" applyFont="1" applyBorder="1" applyAlignment="1">
      <alignment horizontal="center" vertical="center" wrapText="1"/>
    </xf>
    <xf numFmtId="176" fontId="19" fillId="0" borderId="0" xfId="0" applyFont="1" applyAlignment="1">
      <alignment horizontal="right" vertical="center"/>
    </xf>
    <xf numFmtId="176" fontId="17" fillId="0" borderId="13" xfId="0" applyFont="1" applyBorder="1" applyAlignment="1">
      <alignment horizontal="center" vertical="center"/>
    </xf>
    <xf numFmtId="176" fontId="17" fillId="0" borderId="36" xfId="0" applyFont="1" applyBorder="1" applyAlignment="1">
      <alignment horizontal="center" vertical="center"/>
    </xf>
    <xf numFmtId="176" fontId="19" fillId="0" borderId="14" xfId="0" applyFont="1" applyBorder="1" applyAlignment="1">
      <alignment horizontal="center" vertical="center"/>
    </xf>
    <xf numFmtId="178" fontId="19" fillId="0" borderId="18" xfId="34" applyNumberFormat="1" applyFont="1" applyBorder="1" applyAlignment="1">
      <alignment horizontal="center" vertical="center"/>
    </xf>
    <xf numFmtId="178" fontId="19" fillId="0" borderId="35" xfId="34" applyNumberFormat="1" applyFont="1" applyBorder="1" applyAlignment="1">
      <alignment horizontal="center" vertical="center"/>
    </xf>
    <xf numFmtId="178" fontId="19" fillId="0" borderId="36" xfId="34" applyNumberFormat="1" applyFont="1" applyBorder="1" applyAlignment="1">
      <alignment horizontal="center" vertical="center"/>
    </xf>
    <xf numFmtId="38" fontId="19" fillId="0" borderId="36" xfId="34" applyFont="1" applyBorder="1" applyAlignment="1">
      <alignment horizontal="center" vertical="center"/>
    </xf>
    <xf numFmtId="176" fontId="19" fillId="0" borderId="36" xfId="0" applyFont="1" applyBorder="1" applyAlignment="1">
      <alignment horizontal="right"/>
    </xf>
    <xf numFmtId="176" fontId="19" fillId="0" borderId="49" xfId="0" applyFont="1" applyBorder="1" applyAlignment="1">
      <alignment horizontal="center" vertical="center"/>
    </xf>
    <xf numFmtId="176" fontId="19" fillId="0" borderId="29" xfId="0" applyFont="1" applyBorder="1" applyAlignment="1">
      <alignment horizontal="right"/>
    </xf>
    <xf numFmtId="176" fontId="19" fillId="0" borderId="14" xfId="0" applyFont="1" applyBorder="1" applyAlignment="1">
      <alignment horizontal="left" vertical="center"/>
    </xf>
    <xf numFmtId="176" fontId="0" fillId="0" borderId="11" xfId="0" applyBorder="1" applyAlignment="1">
      <alignment horizontal="left" vertical="center"/>
    </xf>
    <xf numFmtId="176" fontId="20" fillId="0" borderId="14" xfId="0" applyFont="1" applyBorder="1">
      <alignment vertical="center"/>
    </xf>
    <xf numFmtId="176" fontId="0" fillId="0" borderId="49" xfId="0" applyBorder="1">
      <alignment vertical="center"/>
    </xf>
    <xf numFmtId="176" fontId="20" fillId="0" borderId="62" xfId="0" applyFont="1" applyBorder="1">
      <alignment vertical="center"/>
    </xf>
    <xf numFmtId="176" fontId="0" fillId="0" borderId="61" xfId="0" applyBorder="1">
      <alignment vertical="center"/>
    </xf>
    <xf numFmtId="176" fontId="20" fillId="0" borderId="49" xfId="0" applyFont="1" applyBorder="1">
      <alignment vertical="center"/>
    </xf>
    <xf numFmtId="176" fontId="0" fillId="0" borderId="11" xfId="0" applyBorder="1">
      <alignment vertical="center"/>
    </xf>
    <xf numFmtId="176" fontId="20" fillId="0" borderId="14" xfId="0" applyFont="1" applyBorder="1" applyAlignment="1">
      <alignment horizontal="center" vertical="center"/>
    </xf>
    <xf numFmtId="176" fontId="0" fillId="0" borderId="11" xfId="0" applyBorder="1" applyAlignment="1">
      <alignment horizontal="center" vertical="center"/>
    </xf>
    <xf numFmtId="176" fontId="0" fillId="0" borderId="39" xfId="0" applyBorder="1">
      <alignment vertical="center"/>
    </xf>
    <xf numFmtId="176" fontId="19" fillId="0" borderId="123" xfId="0" applyFont="1" applyBorder="1" applyAlignment="1">
      <alignment horizontal="center" vertical="center" wrapText="1"/>
    </xf>
    <xf numFmtId="176" fontId="19" fillId="0" borderId="121" xfId="0" applyFont="1" applyBorder="1" applyAlignment="1">
      <alignment horizontal="center" vertical="center"/>
    </xf>
    <xf numFmtId="176" fontId="20" fillId="0" borderId="13" xfId="0" applyFont="1" applyBorder="1" applyAlignment="1">
      <alignment horizontal="center" vertical="center"/>
    </xf>
    <xf numFmtId="176" fontId="20" fillId="0" borderId="45" xfId="0" applyFont="1" applyBorder="1" applyAlignment="1">
      <alignment horizontal="center" vertical="center"/>
    </xf>
    <xf numFmtId="176" fontId="20" fillId="0" borderId="139" xfId="0" applyFont="1" applyBorder="1" applyAlignment="1">
      <alignment horizontal="center" vertical="center"/>
    </xf>
    <xf numFmtId="176" fontId="20" fillId="0" borderId="18" xfId="0" applyFont="1" applyBorder="1" applyAlignment="1">
      <alignment horizontal="center" vertical="center"/>
    </xf>
    <xf numFmtId="176" fontId="20" fillId="0" borderId="17" xfId="0" applyFont="1" applyBorder="1" applyAlignment="1">
      <alignment horizontal="center" vertical="center"/>
    </xf>
    <xf numFmtId="176" fontId="20" fillId="0" borderId="141" xfId="0" applyFont="1" applyBorder="1" applyAlignment="1">
      <alignment horizontal="center" vertical="center"/>
    </xf>
    <xf numFmtId="176" fontId="19" fillId="0" borderId="126" xfId="0" applyFont="1" applyBorder="1" applyAlignment="1">
      <alignment horizontal="center" vertical="center"/>
    </xf>
    <xf numFmtId="176" fontId="19" fillId="0" borderId="124" xfId="0" applyFont="1" applyBorder="1" applyAlignment="1">
      <alignment horizontal="center" vertical="center"/>
    </xf>
    <xf numFmtId="176" fontId="20" fillId="0" borderId="22" xfId="0" applyFont="1" applyBorder="1" applyAlignment="1">
      <alignment horizontal="center" vertical="center" wrapText="1"/>
    </xf>
    <xf numFmtId="176" fontId="20" fillId="0" borderId="22" xfId="0" applyFont="1" applyBorder="1" applyAlignment="1">
      <alignment horizontal="center" vertical="center"/>
    </xf>
    <xf numFmtId="176" fontId="20" fillId="0" borderId="10" xfId="0" applyFont="1" applyBorder="1" applyAlignment="1">
      <alignment horizontal="center" vertical="center"/>
    </xf>
    <xf numFmtId="176" fontId="20" fillId="0" borderId="15" xfId="0" applyFont="1" applyBorder="1" applyAlignment="1">
      <alignment horizontal="center" vertical="center"/>
    </xf>
    <xf numFmtId="176" fontId="20" fillId="0" borderId="12" xfId="0" applyFont="1" applyBorder="1" applyAlignment="1">
      <alignment horizontal="center" vertical="center"/>
    </xf>
    <xf numFmtId="176" fontId="20" fillId="0" borderId="20" xfId="0" applyFont="1" applyBorder="1" applyAlignment="1">
      <alignment horizontal="center" vertical="center" wrapText="1"/>
    </xf>
    <xf numFmtId="176" fontId="20" fillId="0" borderId="52" xfId="0" applyFont="1" applyBorder="1" applyAlignment="1">
      <alignment horizontal="center" vertical="center"/>
    </xf>
    <xf numFmtId="176" fontId="20" fillId="0" borderId="36" xfId="0" applyFont="1" applyBorder="1" applyAlignment="1">
      <alignment horizontal="center" vertical="center"/>
    </xf>
  </cellXfs>
  <cellStyles count="98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パーセント 2" xfId="28" xr:uid="{00000000-0005-0000-0000-00001C000000}"/>
    <cellStyle name="パーセント 2 2" xfId="69" xr:uid="{00000000-0005-0000-0000-00001D000000}"/>
    <cellStyle name="パーセント 3" xfId="47" xr:uid="{00000000-0005-0000-0000-00001E000000}"/>
    <cellStyle name="パーセント 4" xfId="58" xr:uid="{00000000-0005-0000-0000-00001F000000}"/>
    <cellStyle name="パーセント 4 2" xfId="85" xr:uid="{00000000-0005-0000-0000-000020000000}"/>
    <cellStyle name="パーセント 5" xfId="60" xr:uid="{00000000-0005-0000-0000-000021000000}"/>
    <cellStyle name="パーセント 5 2" xfId="87" xr:uid="{00000000-0005-0000-0000-000022000000}"/>
    <cellStyle name="パーセント 6" xfId="62" xr:uid="{00000000-0005-0000-0000-000023000000}"/>
    <cellStyle name="パーセント 6 2" xfId="89" xr:uid="{00000000-0005-0000-0000-000024000000}"/>
    <cellStyle name="パーセント 7" xfId="64" xr:uid="{00000000-0005-0000-0000-000025000000}"/>
    <cellStyle name="パーセント 8" xfId="66" xr:uid="{00000000-0005-0000-0000-000026000000}"/>
    <cellStyle name="パーセント 8 2" xfId="73" xr:uid="{00000000-0005-0000-0000-000027000000}"/>
    <cellStyle name="パーセント 8 2 2" xfId="95" xr:uid="{00000000-0005-0000-0000-000028000000}"/>
    <cellStyle name="パーセント 8 3" xfId="91" xr:uid="{00000000-0005-0000-0000-000029000000}"/>
    <cellStyle name="パーセント 9" xfId="67" xr:uid="{00000000-0005-0000-0000-00002A000000}"/>
    <cellStyle name="メモ" xfId="29" builtinId="10" customBuiltin="1"/>
    <cellStyle name="メモ 2" xfId="79" xr:uid="{00000000-0005-0000-0000-00002C000000}"/>
    <cellStyle name="リンク セル" xfId="30" builtinId="24" customBuiltin="1"/>
    <cellStyle name="悪い" xfId="31" builtinId="27" customBuiltin="1"/>
    <cellStyle name="計算" xfId="32" builtinId="22" customBuiltin="1"/>
    <cellStyle name="計算 2" xfId="80" xr:uid="{00000000-0005-0000-0000-000030000000}"/>
    <cellStyle name="警告文" xfId="33" builtinId="11" customBuiltin="1"/>
    <cellStyle name="桁区切り" xfId="34" builtinId="6"/>
    <cellStyle name="桁区切り 2" xfId="35" xr:uid="{00000000-0005-0000-0000-000033000000}"/>
    <cellStyle name="桁区切り 2 2" xfId="68" xr:uid="{00000000-0005-0000-0000-000034000000}"/>
    <cellStyle name="桁区切り 3" xfId="48" xr:uid="{00000000-0005-0000-0000-000035000000}"/>
    <cellStyle name="桁区切り 4" xfId="70" xr:uid="{00000000-0005-0000-0000-000036000000}"/>
    <cellStyle name="桁区切り 4 2" xfId="92" xr:uid="{00000000-0005-0000-0000-000037000000}"/>
    <cellStyle name="桁区切り 5" xfId="74" xr:uid="{00000000-0005-0000-0000-000038000000}"/>
    <cellStyle name="桁区切り 5 2" xfId="96" xr:uid="{00000000-0005-0000-0000-000039000000}"/>
    <cellStyle name="見出し 1" xfId="36" builtinId="16" customBuiltin="1"/>
    <cellStyle name="見出し 2" xfId="37" builtinId="17" customBuiltin="1"/>
    <cellStyle name="見出し 3" xfId="38" builtinId="18" customBuiltin="1"/>
    <cellStyle name="見出し 4" xfId="39" builtinId="19" customBuiltin="1"/>
    <cellStyle name="集計" xfId="40" builtinId="25" customBuiltin="1"/>
    <cellStyle name="集計 2" xfId="81" xr:uid="{00000000-0005-0000-0000-00003F000000}"/>
    <cellStyle name="出力" xfId="41" builtinId="21" customBuiltin="1"/>
    <cellStyle name="出力 2" xfId="82" xr:uid="{00000000-0005-0000-0000-000041000000}"/>
    <cellStyle name="説明文" xfId="42" builtinId="53" customBuiltin="1"/>
    <cellStyle name="入力" xfId="43" builtinId="20" customBuiltin="1"/>
    <cellStyle name="入力 2" xfId="83" xr:uid="{00000000-0005-0000-0000-000044000000}"/>
    <cellStyle name="標準" xfId="0" builtinId="0"/>
    <cellStyle name="標準 10" xfId="55" xr:uid="{00000000-0005-0000-0000-000046000000}"/>
    <cellStyle name="標準 11" xfId="57" xr:uid="{00000000-0005-0000-0000-000047000000}"/>
    <cellStyle name="標準 11 2" xfId="84" xr:uid="{00000000-0005-0000-0000-000048000000}"/>
    <cellStyle name="標準 12" xfId="59" xr:uid="{00000000-0005-0000-0000-000049000000}"/>
    <cellStyle name="標準 12 2" xfId="86" xr:uid="{00000000-0005-0000-0000-00004A000000}"/>
    <cellStyle name="標準 13" xfId="61" xr:uid="{00000000-0005-0000-0000-00004B000000}"/>
    <cellStyle name="標準 13 2" xfId="71" xr:uid="{00000000-0005-0000-0000-00004C000000}"/>
    <cellStyle name="標準 13 2 2" xfId="93" xr:uid="{00000000-0005-0000-0000-00004D000000}"/>
    <cellStyle name="標準 13 3" xfId="76" xr:uid="{00000000-0005-0000-0000-00004E000000}"/>
    <cellStyle name="標準 13 3 2" xfId="97" xr:uid="{00000000-0005-0000-0000-00004F000000}"/>
    <cellStyle name="標準 13 4" xfId="88" xr:uid="{00000000-0005-0000-0000-000050000000}"/>
    <cellStyle name="標準 14" xfId="63" xr:uid="{00000000-0005-0000-0000-000051000000}"/>
    <cellStyle name="標準 15" xfId="65" xr:uid="{00000000-0005-0000-0000-000052000000}"/>
    <cellStyle name="標準 15 2" xfId="72" xr:uid="{00000000-0005-0000-0000-000053000000}"/>
    <cellStyle name="標準 15 2 2" xfId="94" xr:uid="{00000000-0005-0000-0000-000054000000}"/>
    <cellStyle name="標準 15 3" xfId="90" xr:uid="{00000000-0005-0000-0000-000055000000}"/>
    <cellStyle name="標準 16" xfId="75" xr:uid="{00000000-0005-0000-0000-000056000000}"/>
    <cellStyle name="標準 17" xfId="77" xr:uid="{00000000-0005-0000-0000-000057000000}"/>
    <cellStyle name="標準 18" xfId="78" xr:uid="{00000000-0005-0000-0000-000058000000}"/>
    <cellStyle name="標準 2" xfId="44" xr:uid="{00000000-0005-0000-0000-000059000000}"/>
    <cellStyle name="標準 2 2" xfId="56" xr:uid="{00000000-0005-0000-0000-00005A000000}"/>
    <cellStyle name="標準 3" xfId="46" xr:uid="{00000000-0005-0000-0000-00005B000000}"/>
    <cellStyle name="標準 4" xfId="49" xr:uid="{00000000-0005-0000-0000-00005C000000}"/>
    <cellStyle name="標準 5" xfId="50" xr:uid="{00000000-0005-0000-0000-00005D000000}"/>
    <cellStyle name="標準 6" xfId="51" xr:uid="{00000000-0005-0000-0000-00005E000000}"/>
    <cellStyle name="標準 7" xfId="52" xr:uid="{00000000-0005-0000-0000-00005F000000}"/>
    <cellStyle name="標準 8" xfId="53" xr:uid="{00000000-0005-0000-0000-000060000000}"/>
    <cellStyle name="標準 9" xfId="54" xr:uid="{00000000-0005-0000-0000-000061000000}"/>
    <cellStyle name="良い" xfId="45" builtinId="26" customBuiltin="1"/>
  </cellStyles>
  <dxfs count="0"/>
  <tableStyles count="0" defaultTableStyle="TableStyleMedium2" defaultPivotStyle="PivotStyleLight16"/>
  <colors>
    <mruColors>
      <color rgb="FFFFFFCC"/>
      <color rgb="FFFFCCFF"/>
      <color rgb="FFFFFF99"/>
      <color rgb="FFFFFF66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⑪診療科目別総括表!$I$21</c:f>
              <c:strCache>
                <c:ptCount val="1"/>
              </c:strCache>
            </c:strRef>
          </c:tx>
          <c:cat>
            <c:numRef>
              <c:f>⑪診療科目別総括表!$A$22:$A$32</c:f>
              <c:numCache>
                <c:formatCode>#,##0_ </c:formatCode>
                <c:ptCount val="11"/>
              </c:numCache>
            </c:numRef>
          </c:cat>
          <c:val>
            <c:numRef>
              <c:f>⑪診療科目別総括表!$I$22:$I$32</c:f>
              <c:numCache>
                <c:formatCode>#,##0_ </c:formatCode>
                <c:ptCount val="11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99-4C64-8E76-39982DDA42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836736"/>
        <c:axId val="31789440"/>
      </c:lineChart>
      <c:catAx>
        <c:axId val="88836736"/>
        <c:scaling>
          <c:orientation val="minMax"/>
        </c:scaling>
        <c:delete val="0"/>
        <c:axPos val="b"/>
        <c:numFmt formatCode="#,##0_ " sourceLinked="1"/>
        <c:majorTickMark val="none"/>
        <c:minorTickMark val="none"/>
        <c:tickLblPos val="nextTo"/>
        <c:crossAx val="31789440"/>
        <c:crosses val="autoZero"/>
        <c:auto val="1"/>
        <c:lblAlgn val="ctr"/>
        <c:lblOffset val="100"/>
        <c:noMultiLvlLbl val="0"/>
      </c:catAx>
      <c:valAx>
        <c:axId val="31789440"/>
        <c:scaling>
          <c:orientation val="minMax"/>
        </c:scaling>
        <c:delete val="0"/>
        <c:axPos val="l"/>
        <c:majorGridlines/>
        <c:title>
          <c:overlay val="0"/>
        </c:title>
        <c:numFmt formatCode="#,##0_ " sourceLinked="1"/>
        <c:majorTickMark val="none"/>
        <c:minorTickMark val="none"/>
        <c:tickLblPos val="nextTo"/>
        <c:crossAx val="888367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304799</xdr:colOff>
      <xdr:row>47</xdr:row>
      <xdr:rowOff>152399</xdr:rowOff>
    </xdr:from>
    <xdr:to>
      <xdr:col>14</xdr:col>
      <xdr:colOff>542924</xdr:colOff>
      <xdr:row>65</xdr:row>
      <xdr:rowOff>85724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</sheetPr>
  <dimension ref="A1:BJ23"/>
  <sheetViews>
    <sheetView tabSelected="1" view="pageBreakPreview" zoomScale="70" zoomScaleNormal="82" zoomScaleSheetLayoutView="70" workbookViewId="0"/>
  </sheetViews>
  <sheetFormatPr defaultColWidth="9" defaultRowHeight="13.5" x14ac:dyDescent="0.15"/>
  <cols>
    <col min="1" max="1" width="3.375" style="29" customWidth="1"/>
    <col min="2" max="2" width="9.5" style="29" customWidth="1"/>
    <col min="3" max="4" width="7.125" style="29" bestFit="1" customWidth="1"/>
    <col min="5" max="8" width="7" style="29" customWidth="1"/>
    <col min="9" max="9" width="8.375" style="29" customWidth="1"/>
    <col min="10" max="12" width="7" style="29" customWidth="1"/>
    <col min="13" max="13" width="8.125" style="29" customWidth="1"/>
    <col min="14" max="14" width="8.75" style="29" customWidth="1"/>
    <col min="15" max="21" width="7" style="29" customWidth="1"/>
    <col min="22" max="22" width="8" style="29" customWidth="1"/>
    <col min="23" max="23" width="1.75" style="29" customWidth="1"/>
    <col min="24" max="24" width="9.5" style="29" customWidth="1"/>
    <col min="25" max="28" width="7.625" style="29" customWidth="1"/>
    <col min="29" max="29" width="7.875" style="29" customWidth="1"/>
    <col min="30" max="32" width="7.625" style="29" customWidth="1"/>
    <col min="33" max="33" width="7.875" style="29" customWidth="1"/>
    <col min="34" max="37" width="7.625" style="29" customWidth="1"/>
    <col min="38" max="38" width="7.75" style="29" customWidth="1"/>
    <col min="39" max="42" width="7.625" style="29" customWidth="1"/>
    <col min="43" max="43" width="7.875" style="29" customWidth="1"/>
    <col min="44" max="44" width="1.375" style="29" customWidth="1"/>
    <col min="45" max="45" width="9.5" style="29" customWidth="1"/>
    <col min="46" max="61" width="9.125" style="29" customWidth="1"/>
    <col min="62" max="16384" width="9" style="29"/>
  </cols>
  <sheetData>
    <row r="1" spans="1:61" ht="24.75" customHeight="1" x14ac:dyDescent="0.15">
      <c r="A1" s="290"/>
      <c r="B1" s="455" t="s">
        <v>329</v>
      </c>
      <c r="C1" s="403"/>
      <c r="D1" s="403"/>
      <c r="E1" s="403"/>
    </row>
    <row r="2" spans="1:61" ht="27.75" customHeight="1" x14ac:dyDescent="0.15">
      <c r="B2" s="381" t="s">
        <v>235</v>
      </c>
      <c r="R2" s="546" t="s">
        <v>93</v>
      </c>
      <c r="S2" s="546"/>
      <c r="T2" s="546"/>
      <c r="U2" s="546"/>
      <c r="V2" s="546"/>
      <c r="X2" s="381" t="s">
        <v>238</v>
      </c>
      <c r="AM2" s="546" t="s">
        <v>156</v>
      </c>
      <c r="AN2" s="546"/>
      <c r="AO2" s="546"/>
      <c r="AP2" s="546"/>
      <c r="AQ2" s="546"/>
      <c r="AS2" s="381" t="s">
        <v>237</v>
      </c>
      <c r="BB2" s="546"/>
      <c r="BC2" s="546"/>
      <c r="BD2" s="546"/>
      <c r="BE2" s="546"/>
      <c r="BF2" s="546" t="s">
        <v>155</v>
      </c>
      <c r="BG2" s="546"/>
      <c r="BH2" s="546"/>
      <c r="BI2" s="546"/>
    </row>
    <row r="3" spans="1:61" ht="31.5" customHeight="1" x14ac:dyDescent="0.15">
      <c r="B3" s="547" t="s">
        <v>14</v>
      </c>
      <c r="C3" s="549" t="s">
        <v>94</v>
      </c>
      <c r="D3" s="550"/>
      <c r="E3" s="550"/>
      <c r="F3" s="550"/>
      <c r="G3" s="550"/>
      <c r="H3" s="550"/>
      <c r="I3" s="551"/>
      <c r="J3" s="549" t="s">
        <v>95</v>
      </c>
      <c r="K3" s="550"/>
      <c r="L3" s="550"/>
      <c r="M3" s="551"/>
      <c r="N3" s="239" t="s">
        <v>84</v>
      </c>
      <c r="O3" s="552" t="s">
        <v>9</v>
      </c>
      <c r="P3" s="553"/>
      <c r="Q3" s="553"/>
      <c r="R3" s="553"/>
      <c r="S3" s="553"/>
      <c r="T3" s="553"/>
      <c r="U3" s="553"/>
      <c r="V3" s="554"/>
      <c r="X3" s="555" t="s">
        <v>14</v>
      </c>
      <c r="Y3" s="549" t="s">
        <v>30</v>
      </c>
      <c r="Z3" s="550"/>
      <c r="AA3" s="550"/>
      <c r="AB3" s="550"/>
      <c r="AC3" s="551"/>
      <c r="AD3" s="540" t="s">
        <v>8</v>
      </c>
      <c r="AE3" s="541"/>
      <c r="AF3" s="541"/>
      <c r="AG3" s="542"/>
      <c r="AH3" s="549" t="s">
        <v>89</v>
      </c>
      <c r="AI3" s="550"/>
      <c r="AJ3" s="550"/>
      <c r="AK3" s="550"/>
      <c r="AL3" s="551"/>
      <c r="AM3" s="557" t="s">
        <v>96</v>
      </c>
      <c r="AN3" s="541"/>
      <c r="AO3" s="541"/>
      <c r="AP3" s="541"/>
      <c r="AQ3" s="541"/>
      <c r="AS3" s="558" t="s">
        <v>14</v>
      </c>
      <c r="AT3" s="557" t="s">
        <v>30</v>
      </c>
      <c r="AU3" s="541"/>
      <c r="AV3" s="541"/>
      <c r="AW3" s="542"/>
      <c r="AX3" s="540" t="s">
        <v>8</v>
      </c>
      <c r="AY3" s="541"/>
      <c r="AZ3" s="541"/>
      <c r="BA3" s="542"/>
      <c r="BB3" s="540" t="s">
        <v>89</v>
      </c>
      <c r="BC3" s="541"/>
      <c r="BD3" s="541"/>
      <c r="BE3" s="542"/>
      <c r="BF3" s="540" t="s">
        <v>96</v>
      </c>
      <c r="BG3" s="541"/>
      <c r="BH3" s="541"/>
      <c r="BI3" s="541"/>
    </row>
    <row r="4" spans="1:61" ht="31.5" customHeight="1" thickBot="1" x14ac:dyDescent="0.2">
      <c r="B4" s="548"/>
      <c r="C4" s="61" t="s">
        <v>15</v>
      </c>
      <c r="D4" s="62" t="s">
        <v>17</v>
      </c>
      <c r="E4" s="62" t="s">
        <v>3</v>
      </c>
      <c r="F4" s="62" t="s">
        <v>19</v>
      </c>
      <c r="G4" s="62" t="s">
        <v>20</v>
      </c>
      <c r="H4" s="57" t="s">
        <v>2</v>
      </c>
      <c r="I4" s="63" t="s">
        <v>21</v>
      </c>
      <c r="J4" s="65" t="s">
        <v>15</v>
      </c>
      <c r="K4" s="62" t="s">
        <v>16</v>
      </c>
      <c r="L4" s="64" t="s">
        <v>17</v>
      </c>
      <c r="M4" s="63" t="s">
        <v>21</v>
      </c>
      <c r="N4" s="61" t="s">
        <v>4</v>
      </c>
      <c r="O4" s="61" t="s">
        <v>15</v>
      </c>
      <c r="P4" s="62" t="s">
        <v>16</v>
      </c>
      <c r="Q4" s="62" t="s">
        <v>17</v>
      </c>
      <c r="R4" s="62" t="s">
        <v>3</v>
      </c>
      <c r="S4" s="62" t="s">
        <v>19</v>
      </c>
      <c r="T4" s="62" t="s">
        <v>20</v>
      </c>
      <c r="U4" s="57" t="s">
        <v>2</v>
      </c>
      <c r="V4" s="61" t="s">
        <v>10</v>
      </c>
      <c r="X4" s="556"/>
      <c r="Y4" s="59" t="s">
        <v>85</v>
      </c>
      <c r="Z4" s="58" t="s">
        <v>86</v>
      </c>
      <c r="AA4" s="58" t="s">
        <v>87</v>
      </c>
      <c r="AB4" s="57" t="s">
        <v>88</v>
      </c>
      <c r="AC4" s="60" t="s">
        <v>21</v>
      </c>
      <c r="AD4" s="59" t="s">
        <v>85</v>
      </c>
      <c r="AE4" s="58" t="s">
        <v>86</v>
      </c>
      <c r="AF4" s="58" t="s">
        <v>87</v>
      </c>
      <c r="AG4" s="60" t="s">
        <v>21</v>
      </c>
      <c r="AH4" s="59" t="s">
        <v>85</v>
      </c>
      <c r="AI4" s="58" t="s">
        <v>86</v>
      </c>
      <c r="AJ4" s="58" t="s">
        <v>87</v>
      </c>
      <c r="AK4" s="57" t="s">
        <v>88</v>
      </c>
      <c r="AL4" s="60" t="s">
        <v>21</v>
      </c>
      <c r="AM4" s="59" t="s">
        <v>85</v>
      </c>
      <c r="AN4" s="58" t="s">
        <v>86</v>
      </c>
      <c r="AO4" s="58" t="s">
        <v>87</v>
      </c>
      <c r="AP4" s="57" t="s">
        <v>88</v>
      </c>
      <c r="AQ4" s="56" t="s">
        <v>11</v>
      </c>
      <c r="AS4" s="559"/>
      <c r="AT4" s="51" t="s">
        <v>22</v>
      </c>
      <c r="AU4" s="53" t="s">
        <v>23</v>
      </c>
      <c r="AV4" s="53" t="s">
        <v>24</v>
      </c>
      <c r="AW4" s="54" t="s">
        <v>25</v>
      </c>
      <c r="AX4" s="55" t="s">
        <v>22</v>
      </c>
      <c r="AY4" s="53" t="s">
        <v>23</v>
      </c>
      <c r="AZ4" s="53" t="s">
        <v>24</v>
      </c>
      <c r="BA4" s="54" t="s">
        <v>25</v>
      </c>
      <c r="BB4" s="55" t="s">
        <v>22</v>
      </c>
      <c r="BC4" s="53" t="s">
        <v>23</v>
      </c>
      <c r="BD4" s="53" t="s">
        <v>24</v>
      </c>
      <c r="BE4" s="54" t="s">
        <v>25</v>
      </c>
      <c r="BF4" s="51" t="s">
        <v>22</v>
      </c>
      <c r="BG4" s="53" t="s">
        <v>23</v>
      </c>
      <c r="BH4" s="52" t="s">
        <v>24</v>
      </c>
      <c r="BI4" s="51" t="s">
        <v>11</v>
      </c>
    </row>
    <row r="5" spans="1:61" s="43" customFormat="1" ht="28.5" customHeight="1" thickTop="1" x14ac:dyDescent="0.15">
      <c r="B5" s="49" t="s">
        <v>32</v>
      </c>
      <c r="C5" s="67">
        <f>165+32+336+58</f>
        <v>591</v>
      </c>
      <c r="D5" s="27">
        <f>76+20+149</f>
        <v>245</v>
      </c>
      <c r="E5" s="27">
        <v>116</v>
      </c>
      <c r="F5" s="27">
        <v>12</v>
      </c>
      <c r="G5" s="27">
        <v>40</v>
      </c>
      <c r="H5" s="68">
        <v>144</v>
      </c>
      <c r="I5" s="72">
        <f>IF(C5&gt;0,SUM(C5:H5),"")</f>
        <v>1148</v>
      </c>
      <c r="J5" s="71">
        <f>181+30+251</f>
        <v>462</v>
      </c>
      <c r="K5" s="27"/>
      <c r="L5" s="68">
        <f>33+6+120</f>
        <v>159</v>
      </c>
      <c r="M5" s="72">
        <f>IF(G5&gt;0,SUM(J5:L5),"")</f>
        <v>621</v>
      </c>
      <c r="N5" s="66">
        <v>1193</v>
      </c>
      <c r="O5" s="67">
        <f t="shared" ref="O5:O16" si="0">IF(C5&gt;0,C5+J5,"")</f>
        <v>1053</v>
      </c>
      <c r="P5" s="27">
        <f t="shared" ref="P5:P16" si="1">IF(C5&gt;0,K5+N5,"")</f>
        <v>1193</v>
      </c>
      <c r="Q5" s="27">
        <f t="shared" ref="Q5:Q16" si="2">IF(D5&gt;0,L5+D5,"")</f>
        <v>404</v>
      </c>
      <c r="R5" s="27">
        <f t="shared" ref="R5:R16" si="3">IF(E5&gt;0,E5,"")</f>
        <v>116</v>
      </c>
      <c r="S5" s="27">
        <f t="shared" ref="S5:S16" si="4">IF(F5&gt;0,F5,"")</f>
        <v>12</v>
      </c>
      <c r="T5" s="27">
        <f t="shared" ref="T5:T16" si="5">IF(G5&gt;0,G5,"")</f>
        <v>40</v>
      </c>
      <c r="U5" s="27">
        <f t="shared" ref="U5:U16" si="6">IF(H5&gt;0,H5,"")</f>
        <v>144</v>
      </c>
      <c r="V5" s="67">
        <f t="shared" ref="V5:V16" si="7">IF(C5&gt;0,SUM(O5:U5),"")</f>
        <v>2962</v>
      </c>
      <c r="X5" s="49" t="s">
        <v>32</v>
      </c>
      <c r="Y5" s="74">
        <v>553</v>
      </c>
      <c r="Z5" s="75">
        <v>52</v>
      </c>
      <c r="AA5" s="75">
        <v>485</v>
      </c>
      <c r="AB5" s="76">
        <v>58</v>
      </c>
      <c r="AC5" s="72">
        <f t="shared" ref="AC5:AC7" si="8">IF(Y5&gt;0,SUM(Y5:AB5),"")</f>
        <v>1148</v>
      </c>
      <c r="AD5" s="78">
        <v>214</v>
      </c>
      <c r="AE5" s="75">
        <v>36</v>
      </c>
      <c r="AF5" s="76">
        <v>371</v>
      </c>
      <c r="AG5" s="72">
        <f t="shared" ref="AG5:AG7" si="9">IF(Y5&gt;0,SUM(AD5:AF5),"")</f>
        <v>621</v>
      </c>
      <c r="AH5" s="74">
        <v>227</v>
      </c>
      <c r="AI5" s="75">
        <v>58</v>
      </c>
      <c r="AJ5" s="75">
        <v>634</v>
      </c>
      <c r="AK5" s="76">
        <v>274</v>
      </c>
      <c r="AL5" s="72">
        <f t="shared" ref="AL5:AL7" si="10">IF(AH5&gt;0,SUM(AH5:AK5),"")</f>
        <v>1193</v>
      </c>
      <c r="AM5" s="79">
        <f t="shared" ref="AM5:AM7" si="11">IF(Y5&gt;0,Y5+AD5+AH5,"")</f>
        <v>994</v>
      </c>
      <c r="AN5" s="81">
        <f t="shared" ref="AN5:AN7" si="12">IF(Z5&gt;0,Z5+AE5+AI5,"")</f>
        <v>146</v>
      </c>
      <c r="AO5" s="81">
        <f t="shared" ref="AO5:AO7" si="13">IF(AA5&gt;0,AA5+AF5+AJ5,"")</f>
        <v>1490</v>
      </c>
      <c r="AP5" s="81">
        <f t="shared" ref="AP5:AP7" si="14">IF(AB5&gt;0,AB5+AK5,"")</f>
        <v>332</v>
      </c>
      <c r="AQ5" s="66">
        <f t="shared" ref="AQ5:AQ7" si="15">IF(Y5&gt;0,SUM(AM5:AP5),"")</f>
        <v>2962</v>
      </c>
      <c r="AS5" s="49" t="s">
        <v>32</v>
      </c>
      <c r="AT5" s="74">
        <v>1087</v>
      </c>
      <c r="AU5" s="75">
        <v>29</v>
      </c>
      <c r="AV5" s="75">
        <v>32</v>
      </c>
      <c r="AW5" s="82">
        <f>IF(AT5&gt;0,SUM(AT5:AV5),"")</f>
        <v>1148</v>
      </c>
      <c r="AX5" s="78">
        <v>589</v>
      </c>
      <c r="AY5" s="75">
        <v>18</v>
      </c>
      <c r="AZ5" s="75">
        <v>14</v>
      </c>
      <c r="BA5" s="82">
        <f>IF(AX5&gt;0,SUM(AX5:AZ5),"")</f>
        <v>621</v>
      </c>
      <c r="BB5" s="78">
        <v>1129</v>
      </c>
      <c r="BC5" s="75">
        <v>36</v>
      </c>
      <c r="BD5" s="75">
        <v>28</v>
      </c>
      <c r="BE5" s="82">
        <f>IF(BB5&gt;0,SUM(BB5:BD5),"")</f>
        <v>1193</v>
      </c>
      <c r="BF5" s="444">
        <f t="shared" ref="BF5:BF7" si="16">IF(AT5&gt;0,AT5+AX5+BB5,"")</f>
        <v>2805</v>
      </c>
      <c r="BG5" s="25">
        <f t="shared" ref="BG5:BG7" si="17">IF(AU5&gt;0,AU5+AY5+BC5,"")</f>
        <v>83</v>
      </c>
      <c r="BH5" s="80">
        <f t="shared" ref="BH5:BH7" si="18">IF(AV5&gt;0,AV5+AZ5+BD5,"")</f>
        <v>74</v>
      </c>
      <c r="BI5" s="74">
        <f t="shared" ref="BI5:BI7" si="19">IF(AT5&gt;0,AW5+BA5+BE5,"")</f>
        <v>2962</v>
      </c>
    </row>
    <row r="6" spans="1:61" s="43" customFormat="1" ht="28.5" customHeight="1" x14ac:dyDescent="0.15">
      <c r="B6" s="49" t="s">
        <v>38</v>
      </c>
      <c r="C6" s="66">
        <f>331+18+318+49</f>
        <v>716</v>
      </c>
      <c r="D6" s="20">
        <f>137+20+194</f>
        <v>351</v>
      </c>
      <c r="E6" s="20">
        <v>186</v>
      </c>
      <c r="F6" s="20">
        <v>14</v>
      </c>
      <c r="G6" s="20">
        <v>63</v>
      </c>
      <c r="H6" s="69">
        <v>357</v>
      </c>
      <c r="I6" s="72">
        <f t="shared" ref="I6:I7" si="20">IF(C6&gt;0,SUM(C6:H6),"")</f>
        <v>1687</v>
      </c>
      <c r="J6" s="73">
        <f>353+10+260</f>
        <v>623</v>
      </c>
      <c r="K6" s="20"/>
      <c r="L6" s="69">
        <f>80+6+124</f>
        <v>210</v>
      </c>
      <c r="M6" s="72">
        <f t="shared" ref="M6:M16" si="21">IF(G6&gt;0,SUM(J6:L6),"")</f>
        <v>833</v>
      </c>
      <c r="N6" s="66">
        <v>1512</v>
      </c>
      <c r="O6" s="67">
        <f t="shared" si="0"/>
        <v>1339</v>
      </c>
      <c r="P6" s="27">
        <f t="shared" si="1"/>
        <v>1512</v>
      </c>
      <c r="Q6" s="27">
        <f t="shared" si="2"/>
        <v>561</v>
      </c>
      <c r="R6" s="27">
        <f t="shared" si="3"/>
        <v>186</v>
      </c>
      <c r="S6" s="27">
        <f t="shared" si="4"/>
        <v>14</v>
      </c>
      <c r="T6" s="27">
        <f t="shared" si="5"/>
        <v>63</v>
      </c>
      <c r="U6" s="27">
        <f t="shared" si="6"/>
        <v>357</v>
      </c>
      <c r="V6" s="67">
        <f t="shared" si="7"/>
        <v>4032</v>
      </c>
      <c r="X6" s="49" t="s">
        <v>38</v>
      </c>
      <c r="Y6" s="79">
        <v>1088</v>
      </c>
      <c r="Z6" s="25">
        <v>38</v>
      </c>
      <c r="AA6" s="25">
        <v>512</v>
      </c>
      <c r="AB6" s="80">
        <v>49</v>
      </c>
      <c r="AC6" s="72">
        <f t="shared" si="8"/>
        <v>1687</v>
      </c>
      <c r="AD6" s="81">
        <v>433</v>
      </c>
      <c r="AE6" s="25">
        <v>16</v>
      </c>
      <c r="AF6" s="80">
        <v>384</v>
      </c>
      <c r="AG6" s="72">
        <f t="shared" si="9"/>
        <v>833</v>
      </c>
      <c r="AH6" s="79">
        <v>362</v>
      </c>
      <c r="AI6" s="25">
        <v>35</v>
      </c>
      <c r="AJ6" s="25">
        <v>790</v>
      </c>
      <c r="AK6" s="80">
        <v>325</v>
      </c>
      <c r="AL6" s="72">
        <f t="shared" si="10"/>
        <v>1512</v>
      </c>
      <c r="AM6" s="79">
        <f t="shared" si="11"/>
        <v>1883</v>
      </c>
      <c r="AN6" s="81">
        <f t="shared" si="12"/>
        <v>89</v>
      </c>
      <c r="AO6" s="81">
        <f t="shared" si="13"/>
        <v>1686</v>
      </c>
      <c r="AP6" s="81">
        <f t="shared" si="14"/>
        <v>374</v>
      </c>
      <c r="AQ6" s="66">
        <f t="shared" si="15"/>
        <v>4032</v>
      </c>
      <c r="AS6" s="49" t="s">
        <v>38</v>
      </c>
      <c r="AT6" s="79">
        <v>1603</v>
      </c>
      <c r="AU6" s="25">
        <v>38</v>
      </c>
      <c r="AV6" s="25">
        <v>46</v>
      </c>
      <c r="AW6" s="82">
        <f>IF(AT6&gt;0,SUM(AT6:AV6),"")</f>
        <v>1687</v>
      </c>
      <c r="AX6" s="81">
        <v>787</v>
      </c>
      <c r="AY6" s="25">
        <v>25</v>
      </c>
      <c r="AZ6" s="25">
        <v>21</v>
      </c>
      <c r="BA6" s="82">
        <f>IF(AX6&gt;0,SUM(AX6:AZ6),"")</f>
        <v>833</v>
      </c>
      <c r="BB6" s="81">
        <v>1431</v>
      </c>
      <c r="BC6" s="25">
        <v>48</v>
      </c>
      <c r="BD6" s="25">
        <v>33</v>
      </c>
      <c r="BE6" s="82">
        <f>IF(BB6&gt;0,SUM(BB6:BD6),"")</f>
        <v>1512</v>
      </c>
      <c r="BF6" s="444">
        <f t="shared" si="16"/>
        <v>3821</v>
      </c>
      <c r="BG6" s="25">
        <f t="shared" si="17"/>
        <v>111</v>
      </c>
      <c r="BH6" s="80">
        <f t="shared" si="18"/>
        <v>100</v>
      </c>
      <c r="BI6" s="74">
        <f t="shared" si="19"/>
        <v>4032</v>
      </c>
    </row>
    <row r="7" spans="1:61" s="43" customFormat="1" ht="28.5" customHeight="1" x14ac:dyDescent="0.15">
      <c r="B7" s="49" t="s">
        <v>52</v>
      </c>
      <c r="C7" s="66">
        <f>145+33+241+29</f>
        <v>448</v>
      </c>
      <c r="D7" s="20">
        <f>64+35+212</f>
        <v>311</v>
      </c>
      <c r="E7" s="20">
        <v>91</v>
      </c>
      <c r="F7" s="20">
        <v>13</v>
      </c>
      <c r="G7" s="20">
        <v>35</v>
      </c>
      <c r="H7" s="69">
        <v>125</v>
      </c>
      <c r="I7" s="72">
        <f t="shared" si="20"/>
        <v>1023</v>
      </c>
      <c r="J7" s="73">
        <f>117+35+198</f>
        <v>350</v>
      </c>
      <c r="K7" s="20"/>
      <c r="L7" s="69">
        <f>38+17+107</f>
        <v>162</v>
      </c>
      <c r="M7" s="72">
        <f t="shared" si="21"/>
        <v>512</v>
      </c>
      <c r="N7" s="66">
        <v>1274</v>
      </c>
      <c r="O7" s="67">
        <f t="shared" si="0"/>
        <v>798</v>
      </c>
      <c r="P7" s="27">
        <f t="shared" si="1"/>
        <v>1274</v>
      </c>
      <c r="Q7" s="27">
        <f t="shared" si="2"/>
        <v>473</v>
      </c>
      <c r="R7" s="27">
        <f t="shared" si="3"/>
        <v>91</v>
      </c>
      <c r="S7" s="27">
        <f t="shared" si="4"/>
        <v>13</v>
      </c>
      <c r="T7" s="27">
        <f t="shared" si="5"/>
        <v>35</v>
      </c>
      <c r="U7" s="27">
        <f t="shared" si="6"/>
        <v>125</v>
      </c>
      <c r="V7" s="67">
        <f t="shared" si="7"/>
        <v>2809</v>
      </c>
      <c r="X7" s="49" t="s">
        <v>52</v>
      </c>
      <c r="Y7" s="79">
        <v>473</v>
      </c>
      <c r="Z7" s="25">
        <v>68</v>
      </c>
      <c r="AA7" s="25">
        <v>453</v>
      </c>
      <c r="AB7" s="80">
        <v>29</v>
      </c>
      <c r="AC7" s="72">
        <f t="shared" si="8"/>
        <v>1023</v>
      </c>
      <c r="AD7" s="81">
        <v>155</v>
      </c>
      <c r="AE7" s="25">
        <v>52</v>
      </c>
      <c r="AF7" s="80">
        <v>305</v>
      </c>
      <c r="AG7" s="72">
        <f t="shared" si="9"/>
        <v>512</v>
      </c>
      <c r="AH7" s="79">
        <v>165</v>
      </c>
      <c r="AI7" s="25">
        <v>67</v>
      </c>
      <c r="AJ7" s="25">
        <v>711</v>
      </c>
      <c r="AK7" s="80">
        <v>331</v>
      </c>
      <c r="AL7" s="72">
        <f t="shared" si="10"/>
        <v>1274</v>
      </c>
      <c r="AM7" s="79">
        <f t="shared" si="11"/>
        <v>793</v>
      </c>
      <c r="AN7" s="81">
        <f t="shared" si="12"/>
        <v>187</v>
      </c>
      <c r="AO7" s="81">
        <f t="shared" si="13"/>
        <v>1469</v>
      </c>
      <c r="AP7" s="81">
        <f t="shared" si="14"/>
        <v>360</v>
      </c>
      <c r="AQ7" s="66">
        <f t="shared" si="15"/>
        <v>2809</v>
      </c>
      <c r="AS7" s="49" t="s">
        <v>52</v>
      </c>
      <c r="AT7" s="79">
        <v>977</v>
      </c>
      <c r="AU7" s="25">
        <v>30</v>
      </c>
      <c r="AV7" s="25">
        <v>16</v>
      </c>
      <c r="AW7" s="82">
        <f t="shared" ref="AW7:AW16" si="22">IF(AT7&gt;0,SUM(AT7:AV7),"")</f>
        <v>1023</v>
      </c>
      <c r="AX7" s="81">
        <v>482</v>
      </c>
      <c r="AY7" s="25">
        <v>14</v>
      </c>
      <c r="AZ7" s="25">
        <v>16</v>
      </c>
      <c r="BA7" s="82">
        <f t="shared" ref="BA7:BA16" si="23">IF(AX7&gt;0,SUM(AX7:AZ7),"")</f>
        <v>512</v>
      </c>
      <c r="BB7" s="81">
        <v>1208</v>
      </c>
      <c r="BC7" s="25">
        <v>38</v>
      </c>
      <c r="BD7" s="25">
        <v>28</v>
      </c>
      <c r="BE7" s="82">
        <f t="shared" ref="BE7:BE16" si="24">IF(BB7&gt;0,SUM(BB7:BD7),"")</f>
        <v>1274</v>
      </c>
      <c r="BF7" s="444">
        <f t="shared" si="16"/>
        <v>2667</v>
      </c>
      <c r="BG7" s="25">
        <f t="shared" si="17"/>
        <v>82</v>
      </c>
      <c r="BH7" s="80">
        <f t="shared" si="18"/>
        <v>60</v>
      </c>
      <c r="BI7" s="74">
        <f t="shared" si="19"/>
        <v>2809</v>
      </c>
    </row>
    <row r="8" spans="1:61" s="43" customFormat="1" ht="28.5" customHeight="1" x14ac:dyDescent="0.15">
      <c r="B8" s="49" t="s">
        <v>53</v>
      </c>
      <c r="C8" s="66">
        <f>253+37+373+62</f>
        <v>725</v>
      </c>
      <c r="D8" s="20">
        <f>85+29+211</f>
        <v>325</v>
      </c>
      <c r="E8" s="20">
        <v>94</v>
      </c>
      <c r="F8" s="20">
        <v>15</v>
      </c>
      <c r="G8" s="20">
        <v>37</v>
      </c>
      <c r="H8" s="69">
        <v>170</v>
      </c>
      <c r="I8" s="72">
        <f>IF(C8&gt;0,SUM(C8:H8),"")</f>
        <v>1366</v>
      </c>
      <c r="J8" s="73">
        <v>564</v>
      </c>
      <c r="K8" s="20"/>
      <c r="L8" s="69">
        <v>184</v>
      </c>
      <c r="M8" s="72">
        <f t="shared" si="21"/>
        <v>748</v>
      </c>
      <c r="N8" s="66">
        <v>1415</v>
      </c>
      <c r="O8" s="67">
        <f t="shared" si="0"/>
        <v>1289</v>
      </c>
      <c r="P8" s="27">
        <f t="shared" si="1"/>
        <v>1415</v>
      </c>
      <c r="Q8" s="27">
        <f t="shared" si="2"/>
        <v>509</v>
      </c>
      <c r="R8" s="27">
        <f t="shared" si="3"/>
        <v>94</v>
      </c>
      <c r="S8" s="27">
        <f t="shared" si="4"/>
        <v>15</v>
      </c>
      <c r="T8" s="27">
        <f t="shared" si="5"/>
        <v>37</v>
      </c>
      <c r="U8" s="27">
        <f t="shared" si="6"/>
        <v>170</v>
      </c>
      <c r="V8" s="67">
        <f t="shared" si="7"/>
        <v>3529</v>
      </c>
      <c r="X8" s="49" t="s">
        <v>53</v>
      </c>
      <c r="Y8" s="79">
        <v>654</v>
      </c>
      <c r="Z8" s="25">
        <v>66</v>
      </c>
      <c r="AA8" s="25">
        <v>584</v>
      </c>
      <c r="AB8" s="80">
        <v>62</v>
      </c>
      <c r="AC8" s="72">
        <f>IF(Y8&gt;0,SUM(Y8:AB8),"")</f>
        <v>1366</v>
      </c>
      <c r="AD8" s="81">
        <v>272</v>
      </c>
      <c r="AE8" s="25">
        <v>40</v>
      </c>
      <c r="AF8" s="80">
        <v>436</v>
      </c>
      <c r="AG8" s="72">
        <f>IF(Y8&gt;0,SUM(AD8:AF8),"")</f>
        <v>748</v>
      </c>
      <c r="AH8" s="79">
        <v>251</v>
      </c>
      <c r="AI8" s="25">
        <v>79</v>
      </c>
      <c r="AJ8" s="25">
        <v>743</v>
      </c>
      <c r="AK8" s="80">
        <v>342</v>
      </c>
      <c r="AL8" s="72">
        <f>IF(AH8&gt;0,SUM(AH8:AK8),"")</f>
        <v>1415</v>
      </c>
      <c r="AM8" s="79">
        <f>IF(Y8&gt;0,Y8+AD8+AH8,"")</f>
        <v>1177</v>
      </c>
      <c r="AN8" s="81">
        <f t="shared" ref="AN8:AO8" si="25">IF(Z8&gt;0,Z8+AE8+AI8,"")</f>
        <v>185</v>
      </c>
      <c r="AO8" s="81">
        <f t="shared" si="25"/>
        <v>1763</v>
      </c>
      <c r="AP8" s="81">
        <f>IF(AB8&gt;0,AB8+AK8,"")</f>
        <v>404</v>
      </c>
      <c r="AQ8" s="66">
        <f>IF(Y8&gt;0,SUM(AM8:AP8),"")</f>
        <v>3529</v>
      </c>
      <c r="AS8" s="49" t="s">
        <v>53</v>
      </c>
      <c r="AT8" s="84">
        <v>1307</v>
      </c>
      <c r="AU8" s="85">
        <v>29</v>
      </c>
      <c r="AV8" s="85">
        <v>30</v>
      </c>
      <c r="AW8" s="82">
        <f t="shared" si="22"/>
        <v>1366</v>
      </c>
      <c r="AX8" s="86">
        <v>702</v>
      </c>
      <c r="AY8" s="85">
        <v>35</v>
      </c>
      <c r="AZ8" s="85">
        <v>11</v>
      </c>
      <c r="BA8" s="82">
        <f t="shared" si="23"/>
        <v>748</v>
      </c>
      <c r="BB8" s="86">
        <v>1328</v>
      </c>
      <c r="BC8" s="85">
        <v>50</v>
      </c>
      <c r="BD8" s="85">
        <v>37</v>
      </c>
      <c r="BE8" s="82">
        <f t="shared" si="24"/>
        <v>1415</v>
      </c>
      <c r="BF8" s="444">
        <f>IF(AT8&gt;0,AT8+AX8+BB8,"")</f>
        <v>3337</v>
      </c>
      <c r="BG8" s="25">
        <f t="shared" ref="BG8:BH8" si="26">IF(AU8&gt;0,AU8+AY8+BC8,"")</f>
        <v>114</v>
      </c>
      <c r="BH8" s="80">
        <f t="shared" si="26"/>
        <v>78</v>
      </c>
      <c r="BI8" s="74">
        <f>IF(AT8&gt;0,AW8+BA8+BE8,"")</f>
        <v>3529</v>
      </c>
    </row>
    <row r="9" spans="1:61" s="43" customFormat="1" ht="28.5" customHeight="1" x14ac:dyDescent="0.15">
      <c r="B9" s="49" t="s">
        <v>54</v>
      </c>
      <c r="C9" s="66">
        <f>642+76+662+92</f>
        <v>1472</v>
      </c>
      <c r="D9" s="20">
        <f>159+36+264</f>
        <v>459</v>
      </c>
      <c r="E9" s="20">
        <v>79</v>
      </c>
      <c r="F9" s="20">
        <v>20</v>
      </c>
      <c r="G9" s="20">
        <v>41</v>
      </c>
      <c r="H9" s="69">
        <v>258</v>
      </c>
      <c r="I9" s="72">
        <f t="shared" ref="I9:I16" si="27">IF(C9&gt;0,SUM(C9:H9),"")</f>
        <v>2329</v>
      </c>
      <c r="J9" s="73">
        <f>329+70+412</f>
        <v>811</v>
      </c>
      <c r="K9" s="20"/>
      <c r="L9" s="69">
        <f>53+8+130</f>
        <v>191</v>
      </c>
      <c r="M9" s="72">
        <f t="shared" si="21"/>
        <v>1002</v>
      </c>
      <c r="N9" s="66">
        <v>1911</v>
      </c>
      <c r="O9" s="67">
        <f t="shared" si="0"/>
        <v>2283</v>
      </c>
      <c r="P9" s="27">
        <f t="shared" si="1"/>
        <v>1911</v>
      </c>
      <c r="Q9" s="27">
        <f t="shared" si="2"/>
        <v>650</v>
      </c>
      <c r="R9" s="27">
        <f t="shared" si="3"/>
        <v>79</v>
      </c>
      <c r="S9" s="27">
        <f t="shared" si="4"/>
        <v>20</v>
      </c>
      <c r="T9" s="27">
        <f t="shared" si="5"/>
        <v>41</v>
      </c>
      <c r="U9" s="27">
        <f t="shared" si="6"/>
        <v>258</v>
      </c>
      <c r="V9" s="67">
        <f t="shared" si="7"/>
        <v>5242</v>
      </c>
      <c r="X9" s="49" t="s">
        <v>54</v>
      </c>
      <c r="Y9" s="79">
        <v>1199</v>
      </c>
      <c r="Z9" s="25">
        <v>112</v>
      </c>
      <c r="AA9" s="25">
        <v>926</v>
      </c>
      <c r="AB9" s="80">
        <v>92</v>
      </c>
      <c r="AC9" s="72">
        <f t="shared" ref="AC9:AC16" si="28">IF(Y9&gt;0,SUM(Y9:AB9),"")</f>
        <v>2329</v>
      </c>
      <c r="AD9" s="81">
        <v>382</v>
      </c>
      <c r="AE9" s="25">
        <v>78</v>
      </c>
      <c r="AF9" s="80">
        <v>542</v>
      </c>
      <c r="AG9" s="72">
        <f t="shared" ref="AG9:AG16" si="29">IF(Y9&gt;0,SUM(AD9:AF9),"")</f>
        <v>1002</v>
      </c>
      <c r="AH9" s="79">
        <v>639</v>
      </c>
      <c r="AI9" s="25">
        <v>97</v>
      </c>
      <c r="AJ9" s="25">
        <v>861</v>
      </c>
      <c r="AK9" s="80">
        <v>314</v>
      </c>
      <c r="AL9" s="72">
        <f t="shared" ref="AL9:AL16" si="30">IF(AH9&gt;0,SUM(AH9:AK9),"")</f>
        <v>1911</v>
      </c>
      <c r="AM9" s="79">
        <f t="shared" ref="AM9:AM16" si="31">IF(Y9&gt;0,Y9+AD9+AH9,"")</f>
        <v>2220</v>
      </c>
      <c r="AN9" s="81">
        <f t="shared" ref="AN9:AN16" si="32">IF(Z9&gt;0,Z9+AE9+AI9,"")</f>
        <v>287</v>
      </c>
      <c r="AO9" s="81">
        <f t="shared" ref="AO9:AO16" si="33">IF(AA9&gt;0,AA9+AF9+AJ9,"")</f>
        <v>2329</v>
      </c>
      <c r="AP9" s="81">
        <f t="shared" ref="AP9:AP16" si="34">IF(AB9&gt;0,AB9+AK9,"")</f>
        <v>406</v>
      </c>
      <c r="AQ9" s="66">
        <f t="shared" ref="AQ9:AQ16" si="35">IF(Y9&gt;0,SUM(AM9:AP9),"")</f>
        <v>5242</v>
      </c>
      <c r="AR9" s="50"/>
      <c r="AS9" s="49" t="s">
        <v>54</v>
      </c>
      <c r="AT9" s="84">
        <v>2254</v>
      </c>
      <c r="AU9" s="85">
        <v>27</v>
      </c>
      <c r="AV9" s="85">
        <v>48</v>
      </c>
      <c r="AW9" s="82">
        <f t="shared" si="22"/>
        <v>2329</v>
      </c>
      <c r="AX9" s="86">
        <v>964</v>
      </c>
      <c r="AY9" s="85">
        <v>25</v>
      </c>
      <c r="AZ9" s="85">
        <v>13</v>
      </c>
      <c r="BA9" s="82">
        <f t="shared" si="23"/>
        <v>1002</v>
      </c>
      <c r="BB9" s="86">
        <v>1820</v>
      </c>
      <c r="BC9" s="85">
        <v>47</v>
      </c>
      <c r="BD9" s="85">
        <v>44</v>
      </c>
      <c r="BE9" s="82">
        <f t="shared" si="24"/>
        <v>1911</v>
      </c>
      <c r="BF9" s="444">
        <f t="shared" ref="BF9:BF16" si="36">IF(AT9&gt;0,AT9+AX9+BB9,"")</f>
        <v>5038</v>
      </c>
      <c r="BG9" s="25">
        <f t="shared" ref="BG9:BG16" si="37">IF(AU9&gt;0,AU9+AY9+BC9,"")</f>
        <v>99</v>
      </c>
      <c r="BH9" s="80">
        <f t="shared" ref="BH9:BH16" si="38">IF(AV9&gt;0,AV9+AZ9+BD9,"")</f>
        <v>105</v>
      </c>
      <c r="BI9" s="74">
        <f t="shared" ref="BI9:BI16" si="39">IF(AT9&gt;0,AW9+BA9+BE9,"")</f>
        <v>5242</v>
      </c>
    </row>
    <row r="10" spans="1:61" s="43" customFormat="1" ht="28.5" customHeight="1" x14ac:dyDescent="0.15">
      <c r="B10" s="49" t="s">
        <v>55</v>
      </c>
      <c r="C10" s="66">
        <f>346+32+389+80</f>
        <v>847</v>
      </c>
      <c r="D10" s="20">
        <f>98+20+209</f>
        <v>327</v>
      </c>
      <c r="E10" s="20">
        <v>148</v>
      </c>
      <c r="F10" s="20">
        <v>28</v>
      </c>
      <c r="G10" s="20">
        <v>67</v>
      </c>
      <c r="H10" s="69">
        <v>210</v>
      </c>
      <c r="I10" s="72">
        <f t="shared" si="27"/>
        <v>1627</v>
      </c>
      <c r="J10" s="73">
        <f>264+25+212</f>
        <v>501</v>
      </c>
      <c r="K10" s="20"/>
      <c r="L10" s="69">
        <f>66+15+109</f>
        <v>190</v>
      </c>
      <c r="M10" s="72">
        <f t="shared" si="21"/>
        <v>691</v>
      </c>
      <c r="N10" s="66">
        <v>1349</v>
      </c>
      <c r="O10" s="67">
        <f t="shared" si="0"/>
        <v>1348</v>
      </c>
      <c r="P10" s="27">
        <f t="shared" si="1"/>
        <v>1349</v>
      </c>
      <c r="Q10" s="27">
        <f t="shared" si="2"/>
        <v>517</v>
      </c>
      <c r="R10" s="27">
        <f t="shared" si="3"/>
        <v>148</v>
      </c>
      <c r="S10" s="27">
        <f t="shared" si="4"/>
        <v>28</v>
      </c>
      <c r="T10" s="27">
        <f t="shared" si="5"/>
        <v>67</v>
      </c>
      <c r="U10" s="27">
        <f t="shared" si="6"/>
        <v>210</v>
      </c>
      <c r="V10" s="67">
        <f t="shared" si="7"/>
        <v>3667</v>
      </c>
      <c r="X10" s="49" t="s">
        <v>55</v>
      </c>
      <c r="Y10" s="79">
        <v>897</v>
      </c>
      <c r="Z10" s="25">
        <v>52</v>
      </c>
      <c r="AA10" s="25">
        <v>598</v>
      </c>
      <c r="AB10" s="80">
        <v>80</v>
      </c>
      <c r="AC10" s="72">
        <f t="shared" si="28"/>
        <v>1627</v>
      </c>
      <c r="AD10" s="81">
        <v>330</v>
      </c>
      <c r="AE10" s="25">
        <v>40</v>
      </c>
      <c r="AF10" s="80">
        <v>321</v>
      </c>
      <c r="AG10" s="72">
        <f t="shared" si="29"/>
        <v>691</v>
      </c>
      <c r="AH10" s="79">
        <v>307</v>
      </c>
      <c r="AI10" s="25">
        <v>53</v>
      </c>
      <c r="AJ10" s="25">
        <v>722</v>
      </c>
      <c r="AK10" s="80">
        <v>267</v>
      </c>
      <c r="AL10" s="72">
        <f t="shared" si="30"/>
        <v>1349</v>
      </c>
      <c r="AM10" s="79">
        <f t="shared" si="31"/>
        <v>1534</v>
      </c>
      <c r="AN10" s="81">
        <f t="shared" si="32"/>
        <v>145</v>
      </c>
      <c r="AO10" s="81">
        <f t="shared" si="33"/>
        <v>1641</v>
      </c>
      <c r="AP10" s="81">
        <f t="shared" si="34"/>
        <v>347</v>
      </c>
      <c r="AQ10" s="66">
        <f t="shared" si="35"/>
        <v>3667</v>
      </c>
      <c r="AR10" s="50"/>
      <c r="AS10" s="49" t="s">
        <v>55</v>
      </c>
      <c r="AT10" s="84">
        <v>1550</v>
      </c>
      <c r="AU10" s="85">
        <v>34</v>
      </c>
      <c r="AV10" s="85">
        <v>43</v>
      </c>
      <c r="AW10" s="82">
        <f t="shared" si="22"/>
        <v>1627</v>
      </c>
      <c r="AX10" s="86">
        <v>643</v>
      </c>
      <c r="AY10" s="85">
        <v>29</v>
      </c>
      <c r="AZ10" s="85">
        <v>19</v>
      </c>
      <c r="BA10" s="82">
        <f t="shared" si="23"/>
        <v>691</v>
      </c>
      <c r="BB10" s="86">
        <v>1276</v>
      </c>
      <c r="BC10" s="85">
        <v>33</v>
      </c>
      <c r="BD10" s="85">
        <v>40</v>
      </c>
      <c r="BE10" s="82">
        <f t="shared" si="24"/>
        <v>1349</v>
      </c>
      <c r="BF10" s="444">
        <f t="shared" si="36"/>
        <v>3469</v>
      </c>
      <c r="BG10" s="25">
        <f t="shared" si="37"/>
        <v>96</v>
      </c>
      <c r="BH10" s="80">
        <f t="shared" si="38"/>
        <v>102</v>
      </c>
      <c r="BI10" s="74">
        <f t="shared" si="39"/>
        <v>3667</v>
      </c>
    </row>
    <row r="11" spans="1:61" s="43" customFormat="1" ht="28.5" customHeight="1" x14ac:dyDescent="0.15">
      <c r="B11" s="49" t="s">
        <v>27</v>
      </c>
      <c r="C11" s="66">
        <f>179+31+316+76</f>
        <v>602</v>
      </c>
      <c r="D11" s="20">
        <f>76+49+189</f>
        <v>314</v>
      </c>
      <c r="E11" s="20">
        <v>99</v>
      </c>
      <c r="F11" s="20">
        <v>15</v>
      </c>
      <c r="G11" s="20">
        <v>31</v>
      </c>
      <c r="H11" s="69">
        <v>127</v>
      </c>
      <c r="I11" s="72">
        <f t="shared" si="27"/>
        <v>1188</v>
      </c>
      <c r="J11" s="73">
        <f>149+28+208</f>
        <v>385</v>
      </c>
      <c r="K11" s="20"/>
      <c r="L11" s="69">
        <f>36+11+97</f>
        <v>144</v>
      </c>
      <c r="M11" s="72">
        <f t="shared" si="21"/>
        <v>529</v>
      </c>
      <c r="N11" s="66">
        <v>1362</v>
      </c>
      <c r="O11" s="67">
        <f t="shared" si="0"/>
        <v>987</v>
      </c>
      <c r="P11" s="27">
        <f t="shared" si="1"/>
        <v>1362</v>
      </c>
      <c r="Q11" s="27">
        <f t="shared" si="2"/>
        <v>458</v>
      </c>
      <c r="R11" s="27">
        <f t="shared" si="3"/>
        <v>99</v>
      </c>
      <c r="S11" s="27">
        <f t="shared" si="4"/>
        <v>15</v>
      </c>
      <c r="T11" s="27">
        <f t="shared" si="5"/>
        <v>31</v>
      </c>
      <c r="U11" s="27">
        <f t="shared" si="6"/>
        <v>127</v>
      </c>
      <c r="V11" s="67">
        <f t="shared" si="7"/>
        <v>3079</v>
      </c>
      <c r="X11" s="49" t="s">
        <v>27</v>
      </c>
      <c r="Y11" s="79">
        <v>527</v>
      </c>
      <c r="Z11" s="25">
        <v>80</v>
      </c>
      <c r="AA11" s="25">
        <v>505</v>
      </c>
      <c r="AB11" s="80">
        <v>76</v>
      </c>
      <c r="AC11" s="72">
        <f t="shared" si="28"/>
        <v>1188</v>
      </c>
      <c r="AD11" s="81">
        <v>185</v>
      </c>
      <c r="AE11" s="25">
        <v>39</v>
      </c>
      <c r="AF11" s="80">
        <v>305</v>
      </c>
      <c r="AG11" s="72">
        <f t="shared" si="29"/>
        <v>529</v>
      </c>
      <c r="AH11" s="79">
        <v>234</v>
      </c>
      <c r="AI11" s="25">
        <v>75</v>
      </c>
      <c r="AJ11" s="25">
        <v>768</v>
      </c>
      <c r="AK11" s="80">
        <v>285</v>
      </c>
      <c r="AL11" s="72">
        <f t="shared" si="30"/>
        <v>1362</v>
      </c>
      <c r="AM11" s="79">
        <f t="shared" si="31"/>
        <v>946</v>
      </c>
      <c r="AN11" s="81">
        <f t="shared" si="32"/>
        <v>194</v>
      </c>
      <c r="AO11" s="81">
        <f t="shared" si="33"/>
        <v>1578</v>
      </c>
      <c r="AP11" s="81">
        <f t="shared" si="34"/>
        <v>361</v>
      </c>
      <c r="AQ11" s="66">
        <f t="shared" si="35"/>
        <v>3079</v>
      </c>
      <c r="AR11" s="50"/>
      <c r="AS11" s="49" t="s">
        <v>27</v>
      </c>
      <c r="AT11" s="79">
        <v>1119</v>
      </c>
      <c r="AU11" s="25">
        <v>26</v>
      </c>
      <c r="AV11" s="25">
        <v>43</v>
      </c>
      <c r="AW11" s="82">
        <f t="shared" si="22"/>
        <v>1188</v>
      </c>
      <c r="AX11" s="81">
        <v>507</v>
      </c>
      <c r="AY11" s="25">
        <v>15</v>
      </c>
      <c r="AZ11" s="25">
        <v>7</v>
      </c>
      <c r="BA11" s="82">
        <f t="shared" si="23"/>
        <v>529</v>
      </c>
      <c r="BB11" s="81">
        <v>1297</v>
      </c>
      <c r="BC11" s="25">
        <v>33</v>
      </c>
      <c r="BD11" s="25">
        <v>32</v>
      </c>
      <c r="BE11" s="82">
        <f t="shared" si="24"/>
        <v>1362</v>
      </c>
      <c r="BF11" s="444">
        <f t="shared" si="36"/>
        <v>2923</v>
      </c>
      <c r="BG11" s="25">
        <f t="shared" si="37"/>
        <v>74</v>
      </c>
      <c r="BH11" s="80">
        <f t="shared" si="38"/>
        <v>82</v>
      </c>
      <c r="BI11" s="74">
        <f t="shared" si="39"/>
        <v>3079</v>
      </c>
    </row>
    <row r="12" spans="1:61" s="43" customFormat="1" ht="28.5" customHeight="1" x14ac:dyDescent="0.15">
      <c r="B12" s="49" t="s">
        <v>28</v>
      </c>
      <c r="C12" s="66">
        <f>268+47+294+52</f>
        <v>661</v>
      </c>
      <c r="D12" s="20">
        <f>96+25+166</f>
        <v>287</v>
      </c>
      <c r="E12" s="20">
        <v>117</v>
      </c>
      <c r="F12" s="20">
        <v>16</v>
      </c>
      <c r="G12" s="20">
        <v>47</v>
      </c>
      <c r="H12" s="69">
        <v>215</v>
      </c>
      <c r="I12" s="72">
        <f t="shared" si="27"/>
        <v>1343</v>
      </c>
      <c r="J12" s="73">
        <f>262+28+230</f>
        <v>520</v>
      </c>
      <c r="K12" s="20"/>
      <c r="L12" s="69">
        <f>51+7+76</f>
        <v>134</v>
      </c>
      <c r="M12" s="72">
        <f t="shared" si="21"/>
        <v>654</v>
      </c>
      <c r="N12" s="66">
        <v>1324</v>
      </c>
      <c r="O12" s="67">
        <f t="shared" si="0"/>
        <v>1181</v>
      </c>
      <c r="P12" s="27">
        <f t="shared" si="1"/>
        <v>1324</v>
      </c>
      <c r="Q12" s="27">
        <f t="shared" si="2"/>
        <v>421</v>
      </c>
      <c r="R12" s="27">
        <f t="shared" si="3"/>
        <v>117</v>
      </c>
      <c r="S12" s="27">
        <f t="shared" si="4"/>
        <v>16</v>
      </c>
      <c r="T12" s="27">
        <f t="shared" si="5"/>
        <v>47</v>
      </c>
      <c r="U12" s="27">
        <f t="shared" si="6"/>
        <v>215</v>
      </c>
      <c r="V12" s="67">
        <f t="shared" si="7"/>
        <v>3321</v>
      </c>
      <c r="X12" s="49" t="s">
        <v>28</v>
      </c>
      <c r="Y12" s="79">
        <v>759</v>
      </c>
      <c r="Z12" s="25">
        <v>72</v>
      </c>
      <c r="AA12" s="25">
        <v>460</v>
      </c>
      <c r="AB12" s="80">
        <v>52</v>
      </c>
      <c r="AC12" s="72">
        <f t="shared" si="28"/>
        <v>1343</v>
      </c>
      <c r="AD12" s="81">
        <v>313</v>
      </c>
      <c r="AE12" s="25">
        <v>35</v>
      </c>
      <c r="AF12" s="80">
        <v>306</v>
      </c>
      <c r="AG12" s="72">
        <f t="shared" si="29"/>
        <v>654</v>
      </c>
      <c r="AH12" s="79">
        <v>305</v>
      </c>
      <c r="AI12" s="25">
        <v>55</v>
      </c>
      <c r="AJ12" s="25">
        <v>698</v>
      </c>
      <c r="AK12" s="80">
        <v>266</v>
      </c>
      <c r="AL12" s="72">
        <f t="shared" si="30"/>
        <v>1324</v>
      </c>
      <c r="AM12" s="79">
        <f t="shared" si="31"/>
        <v>1377</v>
      </c>
      <c r="AN12" s="81">
        <f t="shared" si="32"/>
        <v>162</v>
      </c>
      <c r="AO12" s="81">
        <f t="shared" si="33"/>
        <v>1464</v>
      </c>
      <c r="AP12" s="81">
        <f t="shared" si="34"/>
        <v>318</v>
      </c>
      <c r="AQ12" s="66">
        <f t="shared" si="35"/>
        <v>3321</v>
      </c>
      <c r="AR12" s="50"/>
      <c r="AS12" s="49" t="s">
        <v>28</v>
      </c>
      <c r="AT12" s="79">
        <v>1295</v>
      </c>
      <c r="AU12" s="25">
        <v>18</v>
      </c>
      <c r="AV12" s="25">
        <v>30</v>
      </c>
      <c r="AW12" s="82">
        <f t="shared" si="22"/>
        <v>1343</v>
      </c>
      <c r="AX12" s="81">
        <v>617</v>
      </c>
      <c r="AY12" s="25">
        <v>22</v>
      </c>
      <c r="AZ12" s="25">
        <v>15</v>
      </c>
      <c r="BA12" s="82">
        <f t="shared" si="23"/>
        <v>654</v>
      </c>
      <c r="BB12" s="81">
        <v>1247</v>
      </c>
      <c r="BC12" s="25">
        <v>42</v>
      </c>
      <c r="BD12" s="25">
        <v>35</v>
      </c>
      <c r="BE12" s="82">
        <f t="shared" si="24"/>
        <v>1324</v>
      </c>
      <c r="BF12" s="444">
        <f t="shared" si="36"/>
        <v>3159</v>
      </c>
      <c r="BG12" s="25">
        <f t="shared" si="37"/>
        <v>82</v>
      </c>
      <c r="BH12" s="80">
        <f t="shared" si="38"/>
        <v>80</v>
      </c>
      <c r="BI12" s="74">
        <f t="shared" si="39"/>
        <v>3321</v>
      </c>
    </row>
    <row r="13" spans="1:61" s="43" customFormat="1" ht="28.5" customHeight="1" x14ac:dyDescent="0.15">
      <c r="B13" s="49" t="s">
        <v>29</v>
      </c>
      <c r="C13" s="66">
        <f>1054+133+904+94</f>
        <v>2185</v>
      </c>
      <c r="D13" s="20">
        <f>124+22+173</f>
        <v>319</v>
      </c>
      <c r="E13" s="20">
        <v>110</v>
      </c>
      <c r="F13" s="20">
        <v>24</v>
      </c>
      <c r="G13" s="20">
        <v>77</v>
      </c>
      <c r="H13" s="69">
        <v>396</v>
      </c>
      <c r="I13" s="72">
        <f t="shared" si="27"/>
        <v>3111</v>
      </c>
      <c r="J13" s="73">
        <f>1035+91+638</f>
        <v>1764</v>
      </c>
      <c r="K13" s="20"/>
      <c r="L13" s="69">
        <f>57+8+101</f>
        <v>166</v>
      </c>
      <c r="M13" s="72">
        <f t="shared" si="21"/>
        <v>1930</v>
      </c>
      <c r="N13" s="66">
        <v>2442</v>
      </c>
      <c r="O13" s="67">
        <f t="shared" si="0"/>
        <v>3949</v>
      </c>
      <c r="P13" s="27">
        <f t="shared" si="1"/>
        <v>2442</v>
      </c>
      <c r="Q13" s="27">
        <f t="shared" si="2"/>
        <v>485</v>
      </c>
      <c r="R13" s="27">
        <f t="shared" si="3"/>
        <v>110</v>
      </c>
      <c r="S13" s="27">
        <f t="shared" si="4"/>
        <v>24</v>
      </c>
      <c r="T13" s="27">
        <f t="shared" si="5"/>
        <v>77</v>
      </c>
      <c r="U13" s="27">
        <f t="shared" si="6"/>
        <v>396</v>
      </c>
      <c r="V13" s="67">
        <f t="shared" si="7"/>
        <v>7483</v>
      </c>
      <c r="X13" s="49" t="s">
        <v>29</v>
      </c>
      <c r="Y13" s="79">
        <v>1785</v>
      </c>
      <c r="Z13" s="25">
        <v>155</v>
      </c>
      <c r="AA13" s="25">
        <v>1077</v>
      </c>
      <c r="AB13" s="80">
        <v>94</v>
      </c>
      <c r="AC13" s="72">
        <f t="shared" si="28"/>
        <v>3111</v>
      </c>
      <c r="AD13" s="81">
        <v>1092</v>
      </c>
      <c r="AE13" s="25">
        <v>99</v>
      </c>
      <c r="AF13" s="80">
        <v>739</v>
      </c>
      <c r="AG13" s="72">
        <f t="shared" si="29"/>
        <v>1930</v>
      </c>
      <c r="AH13" s="79">
        <v>919</v>
      </c>
      <c r="AI13" s="25">
        <v>114</v>
      </c>
      <c r="AJ13" s="25">
        <v>1054</v>
      </c>
      <c r="AK13" s="80">
        <v>355</v>
      </c>
      <c r="AL13" s="72">
        <f t="shared" si="30"/>
        <v>2442</v>
      </c>
      <c r="AM13" s="79">
        <f t="shared" si="31"/>
        <v>3796</v>
      </c>
      <c r="AN13" s="81">
        <f t="shared" si="32"/>
        <v>368</v>
      </c>
      <c r="AO13" s="81">
        <f t="shared" si="33"/>
        <v>2870</v>
      </c>
      <c r="AP13" s="81">
        <f t="shared" si="34"/>
        <v>449</v>
      </c>
      <c r="AQ13" s="66">
        <f t="shared" si="35"/>
        <v>7483</v>
      </c>
      <c r="AR13" s="50"/>
      <c r="AS13" s="49" t="s">
        <v>29</v>
      </c>
      <c r="AT13" s="79">
        <v>3062</v>
      </c>
      <c r="AU13" s="25">
        <v>15</v>
      </c>
      <c r="AV13" s="25">
        <v>34</v>
      </c>
      <c r="AW13" s="82">
        <f t="shared" si="22"/>
        <v>3111</v>
      </c>
      <c r="AX13" s="81">
        <v>1886</v>
      </c>
      <c r="AY13" s="25">
        <v>15</v>
      </c>
      <c r="AZ13" s="25">
        <v>29</v>
      </c>
      <c r="BA13" s="82">
        <f t="shared" si="23"/>
        <v>1930</v>
      </c>
      <c r="BB13" s="81">
        <v>2340</v>
      </c>
      <c r="BC13" s="25">
        <v>50</v>
      </c>
      <c r="BD13" s="25">
        <v>52</v>
      </c>
      <c r="BE13" s="82">
        <f t="shared" si="24"/>
        <v>2442</v>
      </c>
      <c r="BF13" s="444">
        <f t="shared" si="36"/>
        <v>7288</v>
      </c>
      <c r="BG13" s="25">
        <f t="shared" si="37"/>
        <v>80</v>
      </c>
      <c r="BH13" s="80">
        <f t="shared" si="38"/>
        <v>115</v>
      </c>
      <c r="BI13" s="74">
        <f t="shared" si="39"/>
        <v>7483</v>
      </c>
    </row>
    <row r="14" spans="1:61" s="43" customFormat="1" ht="28.5" customHeight="1" x14ac:dyDescent="0.15">
      <c r="B14" s="49" t="s">
        <v>56</v>
      </c>
      <c r="C14" s="66">
        <v>2374</v>
      </c>
      <c r="D14" s="20">
        <v>274</v>
      </c>
      <c r="E14" s="20">
        <v>114</v>
      </c>
      <c r="F14" s="20">
        <v>15</v>
      </c>
      <c r="G14" s="20">
        <v>90</v>
      </c>
      <c r="H14" s="69">
        <v>451</v>
      </c>
      <c r="I14" s="72">
        <f t="shared" si="27"/>
        <v>3318</v>
      </c>
      <c r="J14" s="73">
        <v>2137</v>
      </c>
      <c r="K14" s="20"/>
      <c r="L14" s="69">
        <v>146</v>
      </c>
      <c r="M14" s="72">
        <f t="shared" si="21"/>
        <v>2283</v>
      </c>
      <c r="N14" s="66">
        <v>2262</v>
      </c>
      <c r="O14" s="67">
        <f t="shared" si="0"/>
        <v>4511</v>
      </c>
      <c r="P14" s="27">
        <f t="shared" si="1"/>
        <v>2262</v>
      </c>
      <c r="Q14" s="27">
        <f t="shared" si="2"/>
        <v>420</v>
      </c>
      <c r="R14" s="27">
        <f t="shared" si="3"/>
        <v>114</v>
      </c>
      <c r="S14" s="27">
        <f t="shared" si="4"/>
        <v>15</v>
      </c>
      <c r="T14" s="27">
        <f t="shared" si="5"/>
        <v>90</v>
      </c>
      <c r="U14" s="27">
        <f t="shared" si="6"/>
        <v>451</v>
      </c>
      <c r="V14" s="67">
        <f t="shared" si="7"/>
        <v>7863</v>
      </c>
      <c r="X14" s="49" t="s">
        <v>56</v>
      </c>
      <c r="Y14" s="79">
        <v>2065</v>
      </c>
      <c r="Z14" s="25">
        <v>154</v>
      </c>
      <c r="AA14" s="25">
        <v>1011</v>
      </c>
      <c r="AB14" s="80">
        <v>88</v>
      </c>
      <c r="AC14" s="72">
        <f t="shared" si="28"/>
        <v>3318</v>
      </c>
      <c r="AD14" s="81">
        <v>1366</v>
      </c>
      <c r="AE14" s="25">
        <v>164</v>
      </c>
      <c r="AF14" s="80">
        <v>753</v>
      </c>
      <c r="AG14" s="72">
        <f t="shared" si="29"/>
        <v>2283</v>
      </c>
      <c r="AH14" s="79">
        <v>859</v>
      </c>
      <c r="AI14" s="25">
        <v>120</v>
      </c>
      <c r="AJ14" s="25">
        <v>963</v>
      </c>
      <c r="AK14" s="80">
        <v>320</v>
      </c>
      <c r="AL14" s="72">
        <f t="shared" si="30"/>
        <v>2262</v>
      </c>
      <c r="AM14" s="79">
        <f t="shared" si="31"/>
        <v>4290</v>
      </c>
      <c r="AN14" s="81">
        <f t="shared" si="32"/>
        <v>438</v>
      </c>
      <c r="AO14" s="81">
        <f t="shared" si="33"/>
        <v>2727</v>
      </c>
      <c r="AP14" s="81">
        <f t="shared" si="34"/>
        <v>408</v>
      </c>
      <c r="AQ14" s="66">
        <f t="shared" si="35"/>
        <v>7863</v>
      </c>
      <c r="AR14" s="50"/>
      <c r="AS14" s="49" t="s">
        <v>56</v>
      </c>
      <c r="AT14" s="79">
        <v>3258</v>
      </c>
      <c r="AU14" s="25">
        <v>18</v>
      </c>
      <c r="AV14" s="25">
        <v>42</v>
      </c>
      <c r="AW14" s="82">
        <f t="shared" si="22"/>
        <v>3318</v>
      </c>
      <c r="AX14" s="81">
        <v>2248</v>
      </c>
      <c r="AY14" s="25">
        <v>21</v>
      </c>
      <c r="AZ14" s="25">
        <v>14</v>
      </c>
      <c r="BA14" s="82">
        <f t="shared" si="23"/>
        <v>2283</v>
      </c>
      <c r="BB14" s="81">
        <v>2169</v>
      </c>
      <c r="BC14" s="25">
        <v>42</v>
      </c>
      <c r="BD14" s="25">
        <v>51</v>
      </c>
      <c r="BE14" s="82">
        <f t="shared" si="24"/>
        <v>2262</v>
      </c>
      <c r="BF14" s="444">
        <f t="shared" si="36"/>
        <v>7675</v>
      </c>
      <c r="BG14" s="25">
        <f t="shared" si="37"/>
        <v>81</v>
      </c>
      <c r="BH14" s="80">
        <f t="shared" si="38"/>
        <v>107</v>
      </c>
      <c r="BI14" s="74">
        <f t="shared" si="39"/>
        <v>7863</v>
      </c>
    </row>
    <row r="15" spans="1:61" s="43" customFormat="1" ht="28.5" customHeight="1" x14ac:dyDescent="0.15">
      <c r="B15" s="49" t="s">
        <v>57</v>
      </c>
      <c r="C15" s="66">
        <f>328+46+372+66</f>
        <v>812</v>
      </c>
      <c r="D15" s="20">
        <f>66+22+118</f>
        <v>206</v>
      </c>
      <c r="E15" s="20">
        <v>127</v>
      </c>
      <c r="F15" s="20">
        <v>11</v>
      </c>
      <c r="G15" s="20">
        <v>43</v>
      </c>
      <c r="H15" s="246">
        <v>150</v>
      </c>
      <c r="I15" s="72">
        <f t="shared" si="27"/>
        <v>1349</v>
      </c>
      <c r="J15" s="73">
        <f>307+28+241</f>
        <v>576</v>
      </c>
      <c r="K15" s="20"/>
      <c r="L15" s="69">
        <f>41+8+62</f>
        <v>111</v>
      </c>
      <c r="M15" s="72">
        <f t="shared" si="21"/>
        <v>687</v>
      </c>
      <c r="N15" s="66">
        <v>1103</v>
      </c>
      <c r="O15" s="67">
        <f t="shared" si="0"/>
        <v>1388</v>
      </c>
      <c r="P15" s="27">
        <f t="shared" si="1"/>
        <v>1103</v>
      </c>
      <c r="Q15" s="27">
        <f t="shared" si="2"/>
        <v>317</v>
      </c>
      <c r="R15" s="27">
        <f t="shared" si="3"/>
        <v>127</v>
      </c>
      <c r="S15" s="27">
        <f t="shared" si="4"/>
        <v>11</v>
      </c>
      <c r="T15" s="27">
        <f t="shared" si="5"/>
        <v>43</v>
      </c>
      <c r="U15" s="27">
        <f t="shared" si="6"/>
        <v>150</v>
      </c>
      <c r="V15" s="67">
        <f t="shared" si="7"/>
        <v>3139</v>
      </c>
      <c r="X15" s="49" t="s">
        <v>57</v>
      </c>
      <c r="Y15" s="79">
        <v>725</v>
      </c>
      <c r="Z15" s="25">
        <v>68</v>
      </c>
      <c r="AA15" s="25">
        <v>490</v>
      </c>
      <c r="AB15" s="80">
        <v>66</v>
      </c>
      <c r="AC15" s="72">
        <f t="shared" si="28"/>
        <v>1349</v>
      </c>
      <c r="AD15" s="81">
        <v>348</v>
      </c>
      <c r="AE15" s="25">
        <v>36</v>
      </c>
      <c r="AF15" s="80">
        <v>303</v>
      </c>
      <c r="AG15" s="72">
        <f t="shared" si="29"/>
        <v>687</v>
      </c>
      <c r="AH15" s="79">
        <v>292</v>
      </c>
      <c r="AI15" s="25">
        <v>56</v>
      </c>
      <c r="AJ15" s="25">
        <v>527</v>
      </c>
      <c r="AK15" s="80">
        <v>228</v>
      </c>
      <c r="AL15" s="72">
        <f t="shared" si="30"/>
        <v>1103</v>
      </c>
      <c r="AM15" s="79">
        <f t="shared" si="31"/>
        <v>1365</v>
      </c>
      <c r="AN15" s="81">
        <f t="shared" si="32"/>
        <v>160</v>
      </c>
      <c r="AO15" s="81">
        <f t="shared" si="33"/>
        <v>1320</v>
      </c>
      <c r="AP15" s="81">
        <f t="shared" si="34"/>
        <v>294</v>
      </c>
      <c r="AQ15" s="66">
        <f t="shared" si="35"/>
        <v>3139</v>
      </c>
      <c r="AR15" s="50"/>
      <c r="AS15" s="49" t="s">
        <v>57</v>
      </c>
      <c r="AT15" s="79">
        <v>1290</v>
      </c>
      <c r="AU15" s="25">
        <v>31</v>
      </c>
      <c r="AV15" s="25">
        <v>28</v>
      </c>
      <c r="AW15" s="82">
        <f t="shared" si="22"/>
        <v>1349</v>
      </c>
      <c r="AX15" s="81">
        <v>651</v>
      </c>
      <c r="AY15" s="25">
        <v>30</v>
      </c>
      <c r="AZ15" s="25">
        <v>6</v>
      </c>
      <c r="BA15" s="82">
        <f t="shared" si="23"/>
        <v>687</v>
      </c>
      <c r="BB15" s="81">
        <v>1042</v>
      </c>
      <c r="BC15" s="25">
        <v>37</v>
      </c>
      <c r="BD15" s="25">
        <v>24</v>
      </c>
      <c r="BE15" s="82">
        <f t="shared" si="24"/>
        <v>1103</v>
      </c>
      <c r="BF15" s="444">
        <f t="shared" si="36"/>
        <v>2983</v>
      </c>
      <c r="BG15" s="25">
        <f t="shared" si="37"/>
        <v>98</v>
      </c>
      <c r="BH15" s="80">
        <f t="shared" si="38"/>
        <v>58</v>
      </c>
      <c r="BI15" s="74">
        <f t="shared" si="39"/>
        <v>3139</v>
      </c>
    </row>
    <row r="16" spans="1:61" s="43" customFormat="1" ht="28.5" customHeight="1" x14ac:dyDescent="0.15">
      <c r="B16" s="49" t="s">
        <v>58</v>
      </c>
      <c r="C16" s="240">
        <f>257+44+418+109</f>
        <v>828</v>
      </c>
      <c r="D16" s="241">
        <f>51+19+150</f>
        <v>220</v>
      </c>
      <c r="E16" s="241">
        <v>80</v>
      </c>
      <c r="F16" s="241">
        <v>7</v>
      </c>
      <c r="G16" s="241">
        <v>37</v>
      </c>
      <c r="H16" s="45">
        <v>121</v>
      </c>
      <c r="I16" s="72">
        <f t="shared" si="27"/>
        <v>1293</v>
      </c>
      <c r="J16" s="242">
        <f>196+39+242</f>
        <v>477</v>
      </c>
      <c r="K16" s="20"/>
      <c r="L16" s="243">
        <f>32+21+90</f>
        <v>143</v>
      </c>
      <c r="M16" s="72">
        <f t="shared" si="21"/>
        <v>620</v>
      </c>
      <c r="N16" s="66">
        <v>1244</v>
      </c>
      <c r="O16" s="67">
        <f t="shared" si="0"/>
        <v>1305</v>
      </c>
      <c r="P16" s="27">
        <f t="shared" si="1"/>
        <v>1244</v>
      </c>
      <c r="Q16" s="27">
        <f t="shared" si="2"/>
        <v>363</v>
      </c>
      <c r="R16" s="27">
        <f t="shared" si="3"/>
        <v>80</v>
      </c>
      <c r="S16" s="27">
        <f t="shared" si="4"/>
        <v>7</v>
      </c>
      <c r="T16" s="27">
        <f t="shared" si="5"/>
        <v>37</v>
      </c>
      <c r="U16" s="27">
        <f t="shared" si="6"/>
        <v>121</v>
      </c>
      <c r="V16" s="67">
        <f t="shared" si="7"/>
        <v>3157</v>
      </c>
      <c r="W16" s="44"/>
      <c r="X16" s="49" t="s">
        <v>58</v>
      </c>
      <c r="Y16" s="79">
        <v>553</v>
      </c>
      <c r="Z16" s="25">
        <v>63</v>
      </c>
      <c r="AA16" s="25">
        <v>568</v>
      </c>
      <c r="AB16" s="80">
        <v>109</v>
      </c>
      <c r="AC16" s="72">
        <f t="shared" si="28"/>
        <v>1293</v>
      </c>
      <c r="AD16" s="81">
        <v>228</v>
      </c>
      <c r="AE16" s="25">
        <v>60</v>
      </c>
      <c r="AF16" s="80">
        <v>332</v>
      </c>
      <c r="AG16" s="72">
        <f t="shared" si="29"/>
        <v>620</v>
      </c>
      <c r="AH16" s="79">
        <v>190</v>
      </c>
      <c r="AI16" s="25">
        <v>71</v>
      </c>
      <c r="AJ16" s="25">
        <v>646</v>
      </c>
      <c r="AK16" s="80">
        <v>337</v>
      </c>
      <c r="AL16" s="72">
        <f t="shared" si="30"/>
        <v>1244</v>
      </c>
      <c r="AM16" s="79">
        <f t="shared" si="31"/>
        <v>971</v>
      </c>
      <c r="AN16" s="81">
        <f t="shared" si="32"/>
        <v>194</v>
      </c>
      <c r="AO16" s="81">
        <f t="shared" si="33"/>
        <v>1546</v>
      </c>
      <c r="AP16" s="81">
        <f t="shared" si="34"/>
        <v>446</v>
      </c>
      <c r="AQ16" s="66">
        <f t="shared" si="35"/>
        <v>3157</v>
      </c>
      <c r="AR16" s="50"/>
      <c r="AS16" s="49" t="s">
        <v>58</v>
      </c>
      <c r="AT16" s="79">
        <v>1224</v>
      </c>
      <c r="AU16" s="25">
        <v>32</v>
      </c>
      <c r="AV16" s="25">
        <v>37</v>
      </c>
      <c r="AW16" s="82">
        <f t="shared" si="22"/>
        <v>1293</v>
      </c>
      <c r="AX16" s="81">
        <v>564</v>
      </c>
      <c r="AY16" s="25">
        <v>43</v>
      </c>
      <c r="AZ16" s="25">
        <v>13</v>
      </c>
      <c r="BA16" s="82">
        <f t="shared" si="23"/>
        <v>620</v>
      </c>
      <c r="BB16" s="81">
        <v>1149</v>
      </c>
      <c r="BC16" s="25">
        <v>51</v>
      </c>
      <c r="BD16" s="25">
        <v>44</v>
      </c>
      <c r="BE16" s="82">
        <f t="shared" si="24"/>
        <v>1244</v>
      </c>
      <c r="BF16" s="444">
        <f t="shared" si="36"/>
        <v>2937</v>
      </c>
      <c r="BG16" s="25">
        <f t="shared" si="37"/>
        <v>126</v>
      </c>
      <c r="BH16" s="80">
        <f t="shared" si="38"/>
        <v>94</v>
      </c>
      <c r="BI16" s="74">
        <f t="shared" si="39"/>
        <v>3157</v>
      </c>
    </row>
    <row r="17" spans="2:62" s="44" customFormat="1" ht="28.5" customHeight="1" thickBot="1" x14ac:dyDescent="0.2">
      <c r="B17" s="257" t="s">
        <v>82</v>
      </c>
      <c r="C17" s="258">
        <f>SUM(C5:C16)</f>
        <v>12261</v>
      </c>
      <c r="D17" s="259">
        <f t="shared" ref="D17:H17" si="40">SUM(D5:D16)</f>
        <v>3638</v>
      </c>
      <c r="E17" s="259">
        <f t="shared" si="40"/>
        <v>1361</v>
      </c>
      <c r="F17" s="259">
        <f t="shared" si="40"/>
        <v>190</v>
      </c>
      <c r="G17" s="259">
        <f t="shared" si="40"/>
        <v>608</v>
      </c>
      <c r="H17" s="260">
        <f t="shared" si="40"/>
        <v>2724</v>
      </c>
      <c r="I17" s="261">
        <f>SUM(I5:I16)</f>
        <v>20782</v>
      </c>
      <c r="J17" s="262">
        <f>SUM(J5:J16)</f>
        <v>9170</v>
      </c>
      <c r="K17" s="446" t="s">
        <v>243</v>
      </c>
      <c r="L17" s="263">
        <f>SUM(L5:L16)</f>
        <v>1940</v>
      </c>
      <c r="M17" s="261">
        <f>SUM(M5:M16)</f>
        <v>11110</v>
      </c>
      <c r="N17" s="258">
        <f>SUM(N5:N16)</f>
        <v>18391</v>
      </c>
      <c r="O17" s="258">
        <f>SUM(O5:O16)</f>
        <v>21431</v>
      </c>
      <c r="P17" s="259">
        <f t="shared" ref="P17:U17" si="41">SUM(P5:P16)</f>
        <v>18391</v>
      </c>
      <c r="Q17" s="259">
        <f t="shared" si="41"/>
        <v>5578</v>
      </c>
      <c r="R17" s="259">
        <f t="shared" si="41"/>
        <v>1361</v>
      </c>
      <c r="S17" s="259">
        <f t="shared" si="41"/>
        <v>190</v>
      </c>
      <c r="T17" s="259">
        <f t="shared" si="41"/>
        <v>608</v>
      </c>
      <c r="U17" s="263">
        <f t="shared" si="41"/>
        <v>2724</v>
      </c>
      <c r="V17" s="258">
        <f>SUM(V5:V16)</f>
        <v>50283</v>
      </c>
      <c r="W17" s="43"/>
      <c r="X17" s="257" t="s">
        <v>82</v>
      </c>
      <c r="Y17" s="258">
        <f>SUM(Y5:Y16)</f>
        <v>11278</v>
      </c>
      <c r="Z17" s="259">
        <f t="shared" ref="Z17:AB17" si="42">SUM(Z5:Z16)</f>
        <v>980</v>
      </c>
      <c r="AA17" s="259">
        <f t="shared" si="42"/>
        <v>7669</v>
      </c>
      <c r="AB17" s="263">
        <f t="shared" si="42"/>
        <v>855</v>
      </c>
      <c r="AC17" s="261">
        <f>SUM(AC5:AC16)</f>
        <v>20782</v>
      </c>
      <c r="AD17" s="262">
        <f t="shared" ref="AD17:AG17" si="43">SUM(AD5:AD16)</f>
        <v>5318</v>
      </c>
      <c r="AE17" s="259">
        <f t="shared" si="43"/>
        <v>695</v>
      </c>
      <c r="AF17" s="263">
        <f t="shared" si="43"/>
        <v>5097</v>
      </c>
      <c r="AG17" s="261">
        <f t="shared" si="43"/>
        <v>11110</v>
      </c>
      <c r="AH17" s="378">
        <f>SUM(AH5:AH16)</f>
        <v>4750</v>
      </c>
      <c r="AI17" s="259">
        <f t="shared" ref="AI17:AJ17" si="44">SUM(AI5:AI16)</f>
        <v>880</v>
      </c>
      <c r="AJ17" s="259">
        <f t="shared" si="44"/>
        <v>9117</v>
      </c>
      <c r="AK17" s="262">
        <f>SUM(AK5:AK16)</f>
        <v>3644</v>
      </c>
      <c r="AL17" s="261">
        <f t="shared" ref="AL17:AQ17" si="45">SUM(AL5:AL16)</f>
        <v>18391</v>
      </c>
      <c r="AM17" s="258">
        <f t="shared" si="45"/>
        <v>21346</v>
      </c>
      <c r="AN17" s="259">
        <f t="shared" si="45"/>
        <v>2555</v>
      </c>
      <c r="AO17" s="259">
        <f t="shared" si="45"/>
        <v>21883</v>
      </c>
      <c r="AP17" s="263">
        <f t="shared" si="45"/>
        <v>4499</v>
      </c>
      <c r="AQ17" s="258">
        <f t="shared" si="45"/>
        <v>50283</v>
      </c>
      <c r="AR17" s="43"/>
      <c r="AS17" s="268" t="s">
        <v>82</v>
      </c>
      <c r="AT17" s="269">
        <f>SUM(AT5:AT16)</f>
        <v>20026</v>
      </c>
      <c r="AU17" s="270">
        <f t="shared" ref="AU17:AV17" si="46">SUM(AU5:AU16)</f>
        <v>327</v>
      </c>
      <c r="AV17" s="270">
        <f t="shared" si="46"/>
        <v>429</v>
      </c>
      <c r="AW17" s="271">
        <f>SUM(AW5:AW16)</f>
        <v>20782</v>
      </c>
      <c r="AX17" s="272">
        <f>SUM(AX5:AX16)</f>
        <v>10640</v>
      </c>
      <c r="AY17" s="270">
        <f t="shared" ref="AY17:BI17" si="47">SUM(AY5:AY16)</f>
        <v>292</v>
      </c>
      <c r="AZ17" s="270">
        <f t="shared" si="47"/>
        <v>178</v>
      </c>
      <c r="BA17" s="249">
        <f t="shared" si="47"/>
        <v>11110</v>
      </c>
      <c r="BB17" s="272">
        <f t="shared" si="47"/>
        <v>17436</v>
      </c>
      <c r="BC17" s="270">
        <f t="shared" si="47"/>
        <v>507</v>
      </c>
      <c r="BD17" s="270">
        <f t="shared" si="47"/>
        <v>448</v>
      </c>
      <c r="BE17" s="249">
        <f t="shared" si="47"/>
        <v>18391</v>
      </c>
      <c r="BF17" s="269">
        <f t="shared" si="47"/>
        <v>48102</v>
      </c>
      <c r="BG17" s="270">
        <f t="shared" si="47"/>
        <v>1126</v>
      </c>
      <c r="BH17" s="273">
        <f t="shared" si="47"/>
        <v>1055</v>
      </c>
      <c r="BI17" s="269">
        <f t="shared" si="47"/>
        <v>50283</v>
      </c>
      <c r="BJ17" s="43"/>
    </row>
    <row r="18" spans="2:62" s="30" customFormat="1" ht="28.5" customHeight="1" thickTop="1" x14ac:dyDescent="0.15">
      <c r="B18" s="250" t="s">
        <v>80</v>
      </c>
      <c r="C18" s="275">
        <f>C17/I17</f>
        <v>0.58998171494562601</v>
      </c>
      <c r="D18" s="252">
        <f>D17/I17</f>
        <v>0.17505533634876336</v>
      </c>
      <c r="E18" s="252">
        <v>6.6000000000000003E-2</v>
      </c>
      <c r="F18" s="252">
        <f>F17/I17</f>
        <v>9.1425271869887397E-3</v>
      </c>
      <c r="G18" s="252">
        <f>G17/I17</f>
        <v>2.9256086998363968E-2</v>
      </c>
      <c r="H18" s="252">
        <f>H17/I17</f>
        <v>0.13107496872293331</v>
      </c>
      <c r="I18" s="254">
        <f>I17/I17</f>
        <v>1</v>
      </c>
      <c r="J18" s="255">
        <f>J17/M17</f>
        <v>0.82538253825382535</v>
      </c>
      <c r="K18" s="447" t="s">
        <v>244</v>
      </c>
      <c r="L18" s="252">
        <f>L17/M17</f>
        <v>0.17461746174617462</v>
      </c>
      <c r="M18" s="254">
        <f>M17/M17</f>
        <v>1</v>
      </c>
      <c r="N18" s="254">
        <f>N17/N17</f>
        <v>1</v>
      </c>
      <c r="O18" s="252">
        <f>O17/V17</f>
        <v>0.42620766461826065</v>
      </c>
      <c r="P18" s="252">
        <f>P17/V17</f>
        <v>0.36574985581608099</v>
      </c>
      <c r="Q18" s="252">
        <f>Q17/V17</f>
        <v>0.1109321241771573</v>
      </c>
      <c r="R18" s="252">
        <f>R17/V17</f>
        <v>2.7066801901238988E-2</v>
      </c>
      <c r="S18" s="252">
        <f>S17/V17</f>
        <v>3.778613050136229E-3</v>
      </c>
      <c r="T18" s="252">
        <f>T17/V17</f>
        <v>1.2091561760435932E-2</v>
      </c>
      <c r="U18" s="266">
        <f>U17/V17</f>
        <v>5.4173378676689934E-2</v>
      </c>
      <c r="V18" s="256">
        <f>V17/V17</f>
        <v>1</v>
      </c>
      <c r="X18" s="264" t="s">
        <v>92</v>
      </c>
      <c r="Y18" s="251">
        <f>Y17/AC17</f>
        <v>0.54268116639399477</v>
      </c>
      <c r="Z18" s="252">
        <f>Z17/AC17</f>
        <v>4.7156192859205082E-2</v>
      </c>
      <c r="AA18" s="252">
        <f>AA17/AC17</f>
        <v>0.36902126840535077</v>
      </c>
      <c r="AB18" s="253">
        <f>AB17/AC17</f>
        <v>4.114137234144933E-2</v>
      </c>
      <c r="AC18" s="265">
        <f>AC17/AC17</f>
        <v>1</v>
      </c>
      <c r="AD18" s="255">
        <f>AD17/AG17</f>
        <v>0.47866786678667866</v>
      </c>
      <c r="AE18" s="252">
        <f>AE17/AG17</f>
        <v>6.2556255625562551E-2</v>
      </c>
      <c r="AF18" s="252">
        <f>AF17/AG17</f>
        <v>0.45877587758775878</v>
      </c>
      <c r="AG18" s="267">
        <f>AG17/AG17</f>
        <v>1</v>
      </c>
      <c r="AH18" s="251">
        <f>AH17/AL17</f>
        <v>0.25827850579087597</v>
      </c>
      <c r="AI18" s="252">
        <f>AI17/AL17</f>
        <v>4.7849491599151757E-2</v>
      </c>
      <c r="AJ18" s="252">
        <f>+AJ17/AL17</f>
        <v>0.49573160785166659</v>
      </c>
      <c r="AK18" s="253">
        <f>AK17/AL17</f>
        <v>0.19814039475830569</v>
      </c>
      <c r="AL18" s="265">
        <f>AL17/AL17</f>
        <v>1</v>
      </c>
      <c r="AM18" s="251">
        <f>AM17/AQ17</f>
        <v>0.42451723246425233</v>
      </c>
      <c r="AN18" s="252">
        <f>AN17/AQ17</f>
        <v>5.0812401805779291E-2</v>
      </c>
      <c r="AO18" s="252">
        <f>AO17/AQ17</f>
        <v>0.43519678619016366</v>
      </c>
      <c r="AP18" s="252">
        <f>AP17/AQ17</f>
        <v>8.9473579539804698E-2</v>
      </c>
      <c r="AQ18" s="256">
        <f>AQ17/AQ17</f>
        <v>1</v>
      </c>
      <c r="AS18" s="274" t="s">
        <v>92</v>
      </c>
      <c r="AT18" s="276">
        <f>AT17/AW17</f>
        <v>0.96362236550861324</v>
      </c>
      <c r="AU18" s="276">
        <f>AU17/AW17</f>
        <v>1.5734770474449041E-2</v>
      </c>
      <c r="AV18" s="276">
        <v>0.02</v>
      </c>
      <c r="AW18" s="277">
        <f>AW17/AW17</f>
        <v>1</v>
      </c>
      <c r="AX18" s="276">
        <f>AX17/BA17</f>
        <v>0.95769576957695768</v>
      </c>
      <c r="AY18" s="276">
        <f>AY17/BA17</f>
        <v>2.6282628262826284E-2</v>
      </c>
      <c r="AZ18" s="276">
        <f>AZ17/BA17</f>
        <v>1.602160216021602E-2</v>
      </c>
      <c r="BA18" s="277">
        <f>BA17/BA17</f>
        <v>1</v>
      </c>
      <c r="BB18" s="278">
        <f>+BB17/BE17</f>
        <v>0.94807242673046599</v>
      </c>
      <c r="BC18" s="276">
        <f>BC17/BE17</f>
        <v>2.7567832091784025E-2</v>
      </c>
      <c r="BD18" s="276">
        <f>BD17/BE17</f>
        <v>2.4359741177749986E-2</v>
      </c>
      <c r="BE18" s="277">
        <f>BE17/BE17</f>
        <v>1</v>
      </c>
      <c r="BF18" s="276">
        <f>BF17/BI17</f>
        <v>0.95662549967185728</v>
      </c>
      <c r="BG18" s="276">
        <f>BG17/BI17</f>
        <v>2.2393254181333651E-2</v>
      </c>
      <c r="BH18" s="445">
        <f>BH17/BI17</f>
        <v>2.098124614680906E-2</v>
      </c>
      <c r="BI18" s="279">
        <f>BI17/BI17</f>
        <v>1</v>
      </c>
    </row>
    <row r="19" spans="2:62" s="30" customFormat="1" ht="28.5" customHeight="1" x14ac:dyDescent="0.15">
      <c r="B19" s="42" t="s">
        <v>81</v>
      </c>
      <c r="C19" s="543">
        <v>0.41299999999999998</v>
      </c>
      <c r="D19" s="535"/>
      <c r="E19" s="535"/>
      <c r="F19" s="535"/>
      <c r="G19" s="535"/>
      <c r="H19" s="535"/>
      <c r="I19" s="536"/>
      <c r="J19" s="543">
        <f>ROUND(M17/V17,3)</f>
        <v>0.221</v>
      </c>
      <c r="K19" s="535"/>
      <c r="L19" s="535"/>
      <c r="M19" s="536"/>
      <c r="N19" s="474">
        <f>ROUND(N17/V17,3)</f>
        <v>0.36599999999999999</v>
      </c>
      <c r="O19" s="544">
        <f>+C19+J19+N19</f>
        <v>1</v>
      </c>
      <c r="P19" s="545"/>
      <c r="Q19" s="545"/>
      <c r="R19" s="545"/>
      <c r="S19" s="545"/>
      <c r="T19" s="545"/>
      <c r="U19" s="545"/>
      <c r="V19" s="32"/>
      <c r="X19" s="35" t="s">
        <v>91</v>
      </c>
      <c r="Y19" s="543">
        <f>+C19</f>
        <v>0.41299999999999998</v>
      </c>
      <c r="Z19" s="535"/>
      <c r="AA19" s="535"/>
      <c r="AB19" s="535"/>
      <c r="AC19" s="536"/>
      <c r="AD19" s="535">
        <f>+J19</f>
        <v>0.221</v>
      </c>
      <c r="AE19" s="535"/>
      <c r="AF19" s="535"/>
      <c r="AG19" s="536"/>
      <c r="AH19" s="543">
        <f>+N19</f>
        <v>0.36599999999999999</v>
      </c>
      <c r="AI19" s="535"/>
      <c r="AJ19" s="535"/>
      <c r="AK19" s="535"/>
      <c r="AL19" s="536"/>
      <c r="AM19" s="537">
        <f>+Y19+AD19+AH19</f>
        <v>1</v>
      </c>
      <c r="AN19" s="538"/>
      <c r="AO19" s="538"/>
      <c r="AP19" s="538"/>
      <c r="AQ19" s="539"/>
      <c r="AR19" s="48"/>
      <c r="AS19" s="47" t="s">
        <v>91</v>
      </c>
      <c r="AT19" s="543">
        <f>+Y19</f>
        <v>0.41299999999999998</v>
      </c>
      <c r="AU19" s="535"/>
      <c r="AV19" s="535"/>
      <c r="AW19" s="536"/>
      <c r="AX19" s="535">
        <f>+AD19</f>
        <v>0.221</v>
      </c>
      <c r="AY19" s="535"/>
      <c r="AZ19" s="535"/>
      <c r="BA19" s="536"/>
      <c r="BB19" s="535">
        <f>+AH19</f>
        <v>0.36599999999999999</v>
      </c>
      <c r="BC19" s="535"/>
      <c r="BD19" s="535"/>
      <c r="BE19" s="536"/>
      <c r="BF19" s="537">
        <f>+O19</f>
        <v>1</v>
      </c>
      <c r="BG19" s="538"/>
      <c r="BH19" s="538"/>
      <c r="BI19" s="539"/>
    </row>
    <row r="20" spans="2:62" s="43" customFormat="1" ht="26.25" customHeight="1" x14ac:dyDescent="0.15">
      <c r="B20" s="46" t="s">
        <v>154</v>
      </c>
      <c r="C20" s="399">
        <v>11272</v>
      </c>
      <c r="D20" s="380">
        <v>3400</v>
      </c>
      <c r="E20" s="380">
        <v>1190</v>
      </c>
      <c r="F20" s="380">
        <v>277</v>
      </c>
      <c r="G20" s="380">
        <v>629</v>
      </c>
      <c r="H20" s="440">
        <v>2676</v>
      </c>
      <c r="I20" s="399">
        <v>19444</v>
      </c>
      <c r="J20" s="399">
        <v>8926</v>
      </c>
      <c r="K20" s="380">
        <v>396</v>
      </c>
      <c r="L20" s="440">
        <v>1844</v>
      </c>
      <c r="M20" s="399">
        <v>11166</v>
      </c>
      <c r="N20" s="399">
        <v>22863</v>
      </c>
      <c r="O20" s="399">
        <v>20198</v>
      </c>
      <c r="P20" s="380">
        <v>23259</v>
      </c>
      <c r="Q20" s="380">
        <v>5244</v>
      </c>
      <c r="R20" s="380">
        <v>1190</v>
      </c>
      <c r="S20" s="380">
        <v>277</v>
      </c>
      <c r="T20" s="380">
        <v>629</v>
      </c>
      <c r="U20" s="440">
        <v>2676</v>
      </c>
      <c r="V20" s="379">
        <v>53473</v>
      </c>
      <c r="W20" s="30"/>
      <c r="X20" s="46" t="s">
        <v>154</v>
      </c>
      <c r="Y20" s="324">
        <v>10053</v>
      </c>
      <c r="Z20" s="323">
        <v>889</v>
      </c>
      <c r="AA20" s="323">
        <v>7467</v>
      </c>
      <c r="AB20" s="424">
        <v>1035</v>
      </c>
      <c r="AC20" s="324">
        <v>19444</v>
      </c>
      <c r="AD20" s="324">
        <v>5117</v>
      </c>
      <c r="AE20" s="323">
        <v>678</v>
      </c>
      <c r="AF20" s="424">
        <v>5371</v>
      </c>
      <c r="AG20" s="324">
        <v>11166</v>
      </c>
      <c r="AH20" s="322">
        <v>5849</v>
      </c>
      <c r="AI20" s="323">
        <v>1275</v>
      </c>
      <c r="AJ20" s="323">
        <v>11421</v>
      </c>
      <c r="AK20" s="291">
        <v>4318</v>
      </c>
      <c r="AL20" s="324">
        <v>22863</v>
      </c>
      <c r="AM20" s="324">
        <v>21019</v>
      </c>
      <c r="AN20" s="323">
        <v>2842</v>
      </c>
      <c r="AO20" s="323">
        <v>24259</v>
      </c>
      <c r="AP20" s="424">
        <v>5353</v>
      </c>
      <c r="AQ20" s="322">
        <v>53473</v>
      </c>
      <c r="AR20" s="48"/>
      <c r="AS20" s="46" t="s">
        <v>154</v>
      </c>
      <c r="AT20" s="324">
        <v>18697</v>
      </c>
      <c r="AU20" s="323">
        <v>311</v>
      </c>
      <c r="AV20" s="323">
        <v>436</v>
      </c>
      <c r="AW20" s="424">
        <v>19444</v>
      </c>
      <c r="AX20" s="324">
        <v>10776</v>
      </c>
      <c r="AY20" s="323">
        <v>249</v>
      </c>
      <c r="AZ20" s="323">
        <v>141</v>
      </c>
      <c r="BA20" s="424">
        <v>11166</v>
      </c>
      <c r="BB20" s="324">
        <v>22013</v>
      </c>
      <c r="BC20" s="323">
        <v>460</v>
      </c>
      <c r="BD20" s="323">
        <v>390</v>
      </c>
      <c r="BE20" s="424">
        <v>22863</v>
      </c>
      <c r="BF20" s="324">
        <v>51486</v>
      </c>
      <c r="BG20" s="323">
        <v>1020</v>
      </c>
      <c r="BH20" s="424">
        <v>967</v>
      </c>
      <c r="BI20" s="322">
        <v>53473</v>
      </c>
      <c r="BJ20" s="44"/>
    </row>
    <row r="21" spans="2:62" s="30" customFormat="1" ht="26.25" customHeight="1" x14ac:dyDescent="0.15">
      <c r="B21" s="42" t="s">
        <v>83</v>
      </c>
      <c r="C21" s="413">
        <f>C17/C20</f>
        <v>1.0877395315826828</v>
      </c>
      <c r="D21" s="39">
        <f t="shared" ref="D21:V21" si="48">D17/D20</f>
        <v>1.07</v>
      </c>
      <c r="E21" s="39">
        <f t="shared" si="48"/>
        <v>1.1436974789915966</v>
      </c>
      <c r="F21" s="39">
        <f t="shared" si="48"/>
        <v>0.6859205776173285</v>
      </c>
      <c r="G21" s="39">
        <f t="shared" si="48"/>
        <v>0.96661367249602548</v>
      </c>
      <c r="H21" s="442">
        <f t="shared" si="48"/>
        <v>1.0179372197309418</v>
      </c>
      <c r="I21" s="40">
        <f t="shared" si="48"/>
        <v>1.068813001440033</v>
      </c>
      <c r="J21" s="442">
        <f t="shared" si="48"/>
        <v>1.0273358727313466</v>
      </c>
      <c r="K21" s="448" t="s">
        <v>243</v>
      </c>
      <c r="L21" s="442">
        <f t="shared" si="48"/>
        <v>1.0520607375271149</v>
      </c>
      <c r="M21" s="40">
        <f t="shared" si="48"/>
        <v>0.99498477521046036</v>
      </c>
      <c r="N21" s="41">
        <f>N17/N20</f>
        <v>0.80440012246861736</v>
      </c>
      <c r="O21" s="413">
        <f t="shared" si="48"/>
        <v>1.0610456480839687</v>
      </c>
      <c r="P21" s="39">
        <f t="shared" si="48"/>
        <v>0.79070467345973605</v>
      </c>
      <c r="Q21" s="39">
        <f t="shared" si="48"/>
        <v>1.0636918382913807</v>
      </c>
      <c r="R21" s="39">
        <f t="shared" si="48"/>
        <v>1.1436974789915966</v>
      </c>
      <c r="S21" s="39">
        <f t="shared" si="48"/>
        <v>0.6859205776173285</v>
      </c>
      <c r="T21" s="39">
        <f t="shared" si="48"/>
        <v>0.96661367249602548</v>
      </c>
      <c r="U21" s="443">
        <f t="shared" si="48"/>
        <v>1.0179372197309418</v>
      </c>
      <c r="V21" s="41">
        <f t="shared" si="48"/>
        <v>0.94034372487049545</v>
      </c>
      <c r="X21" s="42" t="s">
        <v>83</v>
      </c>
      <c r="Y21" s="34">
        <f>Y17/Y20</f>
        <v>1.1218541728837164</v>
      </c>
      <c r="Z21" s="33">
        <f t="shared" ref="Z21:AB21" si="49">Z17/Z20</f>
        <v>1.1023622047244095</v>
      </c>
      <c r="AA21" s="33">
        <f t="shared" si="49"/>
        <v>1.0270523637337619</v>
      </c>
      <c r="AB21" s="425">
        <f t="shared" si="49"/>
        <v>0.82608695652173914</v>
      </c>
      <c r="AC21" s="36">
        <f>AC17/AC20</f>
        <v>1.068813001440033</v>
      </c>
      <c r="AD21" s="425">
        <f t="shared" ref="AD21:AQ21" si="50">AD17/AD20</f>
        <v>1.039280828610514</v>
      </c>
      <c r="AE21" s="33">
        <f t="shared" si="50"/>
        <v>1.0250737463126844</v>
      </c>
      <c r="AF21" s="425">
        <f t="shared" si="50"/>
        <v>0.94898529137963139</v>
      </c>
      <c r="AG21" s="36">
        <f t="shared" si="50"/>
        <v>0.99498477521046036</v>
      </c>
      <c r="AH21" s="32">
        <f t="shared" si="50"/>
        <v>0.81210463327064453</v>
      </c>
      <c r="AI21" s="33">
        <f t="shared" si="50"/>
        <v>0.69019607843137254</v>
      </c>
      <c r="AJ21" s="33">
        <f t="shared" si="50"/>
        <v>0.79826635145784086</v>
      </c>
      <c r="AK21" s="31">
        <f t="shared" si="50"/>
        <v>0.84390921723019918</v>
      </c>
      <c r="AL21" s="36">
        <f t="shared" si="50"/>
        <v>0.80440012246861736</v>
      </c>
      <c r="AM21" s="34">
        <f t="shared" si="50"/>
        <v>1.0155573528712118</v>
      </c>
      <c r="AN21" s="33">
        <f t="shared" si="50"/>
        <v>0.89901477832512311</v>
      </c>
      <c r="AO21" s="33">
        <f t="shared" si="50"/>
        <v>0.90205696854775552</v>
      </c>
      <c r="AP21" s="425">
        <f t="shared" si="50"/>
        <v>0.84046329161218014</v>
      </c>
      <c r="AQ21" s="32">
        <f t="shared" si="50"/>
        <v>0.94034372487049545</v>
      </c>
      <c r="AR21" s="48"/>
      <c r="AS21" s="42" t="s">
        <v>83</v>
      </c>
      <c r="AT21" s="34">
        <f>AT17/AT20</f>
        <v>1.0710809220730599</v>
      </c>
      <c r="AU21" s="33">
        <f>AU17/AU20</f>
        <v>1.0514469453376205</v>
      </c>
      <c r="AV21" s="33">
        <f t="shared" ref="AV21:BI21" si="51">AV17/AV20</f>
        <v>0.98394495412844041</v>
      </c>
      <c r="AW21" s="425">
        <f t="shared" si="51"/>
        <v>1.068813001440033</v>
      </c>
      <c r="AX21" s="34">
        <f t="shared" si="51"/>
        <v>0.98737936154417227</v>
      </c>
      <c r="AY21" s="33">
        <f t="shared" si="51"/>
        <v>1.1726907630522088</v>
      </c>
      <c r="AZ21" s="33">
        <f t="shared" si="51"/>
        <v>1.2624113475177305</v>
      </c>
      <c r="BA21" s="425">
        <f t="shared" si="51"/>
        <v>0.99498477521046036</v>
      </c>
      <c r="BB21" s="34">
        <f t="shared" si="51"/>
        <v>0.79207740880388866</v>
      </c>
      <c r="BC21" s="33">
        <f t="shared" si="51"/>
        <v>1.1021739130434782</v>
      </c>
      <c r="BD21" s="33">
        <f t="shared" si="51"/>
        <v>1.1487179487179486</v>
      </c>
      <c r="BE21" s="425">
        <f t="shared" si="51"/>
        <v>0.80440012246861736</v>
      </c>
      <c r="BF21" s="34">
        <f t="shared" si="51"/>
        <v>0.93427339470924131</v>
      </c>
      <c r="BG21" s="33">
        <f t="shared" si="51"/>
        <v>1.1039215686274511</v>
      </c>
      <c r="BH21" s="425">
        <f t="shared" si="51"/>
        <v>1.0910031023784901</v>
      </c>
      <c r="BI21" s="32">
        <f t="shared" si="51"/>
        <v>0.94034372487049545</v>
      </c>
    </row>
    <row r="22" spans="2:62" ht="26.25" customHeight="1" x14ac:dyDescent="0.15">
      <c r="B22" s="46" t="s">
        <v>231</v>
      </c>
      <c r="C22" s="399">
        <v>16922</v>
      </c>
      <c r="D22" s="380">
        <v>5237</v>
      </c>
      <c r="E22" s="380">
        <v>1844</v>
      </c>
      <c r="F22" s="380">
        <v>431</v>
      </c>
      <c r="G22" s="380">
        <v>1259</v>
      </c>
      <c r="H22" s="440">
        <v>3086</v>
      </c>
      <c r="I22" s="399">
        <v>28779</v>
      </c>
      <c r="J22" s="399">
        <v>7956</v>
      </c>
      <c r="K22" s="380">
        <v>4811</v>
      </c>
      <c r="L22" s="440">
        <v>2481</v>
      </c>
      <c r="M22" s="399">
        <v>15248</v>
      </c>
      <c r="N22" s="399">
        <v>23649</v>
      </c>
      <c r="O22" s="399">
        <v>24878</v>
      </c>
      <c r="P22" s="380">
        <v>28460</v>
      </c>
      <c r="Q22" s="380">
        <v>7718</v>
      </c>
      <c r="R22" s="380">
        <v>1844</v>
      </c>
      <c r="S22" s="380">
        <v>431</v>
      </c>
      <c r="T22" s="380">
        <v>1259</v>
      </c>
      <c r="U22" s="440">
        <v>3086</v>
      </c>
      <c r="V22" s="379">
        <v>67676</v>
      </c>
      <c r="W22" s="410"/>
      <c r="X22" s="411" t="s">
        <v>231</v>
      </c>
      <c r="Y22" s="412">
        <v>12495</v>
      </c>
      <c r="Z22" s="423">
        <v>1081</v>
      </c>
      <c r="AA22" s="423">
        <v>11239</v>
      </c>
      <c r="AB22" s="422">
        <v>3964</v>
      </c>
      <c r="AC22" s="412">
        <v>28779</v>
      </c>
      <c r="AD22" s="412">
        <v>5898</v>
      </c>
      <c r="AE22" s="423">
        <v>1021</v>
      </c>
      <c r="AF22" s="422">
        <v>8329</v>
      </c>
      <c r="AG22" s="412">
        <v>15248</v>
      </c>
      <c r="AH22" s="432">
        <v>5481</v>
      </c>
      <c r="AI22" s="423">
        <v>1045</v>
      </c>
      <c r="AJ22" s="423">
        <v>11861</v>
      </c>
      <c r="AK22" s="441">
        <v>5262</v>
      </c>
      <c r="AL22" s="412">
        <v>23649</v>
      </c>
      <c r="AM22" s="412">
        <v>23874</v>
      </c>
      <c r="AN22" s="423">
        <v>3147</v>
      </c>
      <c r="AO22" s="423">
        <v>31429</v>
      </c>
      <c r="AP22" s="422">
        <v>9226</v>
      </c>
      <c r="AQ22" s="432">
        <v>67676</v>
      </c>
      <c r="AR22" s="48"/>
      <c r="AS22" s="411" t="s">
        <v>231</v>
      </c>
      <c r="AT22" s="399">
        <v>26641</v>
      </c>
      <c r="AU22" s="380">
        <v>1334</v>
      </c>
      <c r="AV22" s="380">
        <v>804</v>
      </c>
      <c r="AW22" s="440">
        <v>28779</v>
      </c>
      <c r="AX22" s="399">
        <v>14309</v>
      </c>
      <c r="AY22" s="380">
        <v>648</v>
      </c>
      <c r="AZ22" s="380">
        <v>291</v>
      </c>
      <c r="BA22" s="440">
        <v>15248</v>
      </c>
      <c r="BB22" s="399">
        <v>22460</v>
      </c>
      <c r="BC22" s="380">
        <v>772</v>
      </c>
      <c r="BD22" s="380">
        <v>417</v>
      </c>
      <c r="BE22" s="440">
        <v>23649</v>
      </c>
      <c r="BF22" s="399">
        <v>63410</v>
      </c>
      <c r="BG22" s="380">
        <v>2754</v>
      </c>
      <c r="BH22" s="440">
        <v>1512</v>
      </c>
      <c r="BI22" s="379">
        <v>67676</v>
      </c>
    </row>
    <row r="23" spans="2:62" ht="26.25" customHeight="1" x14ac:dyDescent="0.15">
      <c r="B23" s="42" t="s">
        <v>232</v>
      </c>
      <c r="C23" s="413">
        <f t="shared" ref="C23:J23" si="52">C17/C22</f>
        <v>0.72455974471102702</v>
      </c>
      <c r="D23" s="39">
        <f t="shared" si="52"/>
        <v>0.69467252243650945</v>
      </c>
      <c r="E23" s="39">
        <f t="shared" si="52"/>
        <v>0.73806941431670281</v>
      </c>
      <c r="F23" s="39">
        <f t="shared" si="52"/>
        <v>0.44083526682134572</v>
      </c>
      <c r="G23" s="39">
        <f t="shared" si="52"/>
        <v>0.48292295472597302</v>
      </c>
      <c r="H23" s="442">
        <f t="shared" si="52"/>
        <v>0.88269604666234613</v>
      </c>
      <c r="I23" s="40">
        <f t="shared" si="52"/>
        <v>0.72212377080510093</v>
      </c>
      <c r="J23" s="442">
        <f t="shared" si="52"/>
        <v>1.1525892408245348</v>
      </c>
      <c r="K23" s="448" t="s">
        <v>243</v>
      </c>
      <c r="L23" s="442">
        <f t="shared" ref="L23:V23" si="53">L17/L22</f>
        <v>0.7819427650141072</v>
      </c>
      <c r="M23" s="40">
        <f t="shared" si="53"/>
        <v>0.72862014690451204</v>
      </c>
      <c r="N23" s="41">
        <f t="shared" si="53"/>
        <v>0.77766501754831074</v>
      </c>
      <c r="O23" s="413">
        <f t="shared" si="53"/>
        <v>0.86144384596832546</v>
      </c>
      <c r="P23" s="39">
        <f t="shared" si="53"/>
        <v>0.64620520028109629</v>
      </c>
      <c r="Q23" s="39">
        <f t="shared" si="53"/>
        <v>0.72272609484322359</v>
      </c>
      <c r="R23" s="39">
        <f t="shared" si="53"/>
        <v>0.73806941431670281</v>
      </c>
      <c r="S23" s="39">
        <f t="shared" si="53"/>
        <v>0.44083526682134572</v>
      </c>
      <c r="T23" s="39">
        <f t="shared" si="53"/>
        <v>0.48292295472597302</v>
      </c>
      <c r="U23" s="41">
        <f t="shared" si="53"/>
        <v>0.88269604666234613</v>
      </c>
      <c r="V23" s="37">
        <f t="shared" si="53"/>
        <v>0.74299603995508012</v>
      </c>
      <c r="W23" s="410"/>
      <c r="X23" s="42" t="s">
        <v>232</v>
      </c>
      <c r="Y23" s="413">
        <f t="shared" ref="Y23:AQ23" si="54">Y17/Y22</f>
        <v>0.90260104041616651</v>
      </c>
      <c r="Z23" s="39">
        <f t="shared" si="54"/>
        <v>0.90656799259944498</v>
      </c>
      <c r="AA23" s="39">
        <f t="shared" si="54"/>
        <v>0.68235608150191296</v>
      </c>
      <c r="AB23" s="442">
        <f t="shared" si="54"/>
        <v>0.21569122098890009</v>
      </c>
      <c r="AC23" s="40">
        <f t="shared" si="54"/>
        <v>0.72212377080510093</v>
      </c>
      <c r="AD23" s="442">
        <f t="shared" si="54"/>
        <v>0.90166158019667686</v>
      </c>
      <c r="AE23" s="39">
        <f t="shared" si="54"/>
        <v>0.68070519098922622</v>
      </c>
      <c r="AF23" s="442">
        <f t="shared" si="54"/>
        <v>0.61195821827350227</v>
      </c>
      <c r="AG23" s="40">
        <f t="shared" si="54"/>
        <v>0.72862014690451204</v>
      </c>
      <c r="AH23" s="37">
        <f t="shared" si="54"/>
        <v>0.86663017697500455</v>
      </c>
      <c r="AI23" s="39">
        <f t="shared" si="54"/>
        <v>0.84210526315789469</v>
      </c>
      <c r="AJ23" s="39">
        <f t="shared" si="54"/>
        <v>0.76865357052525085</v>
      </c>
      <c r="AK23" s="38">
        <f t="shared" si="54"/>
        <v>0.69251235271759792</v>
      </c>
      <c r="AL23" s="40">
        <f t="shared" si="54"/>
        <v>0.77766501754831074</v>
      </c>
      <c r="AM23" s="413">
        <f t="shared" si="54"/>
        <v>0.89411074809416102</v>
      </c>
      <c r="AN23" s="39">
        <f t="shared" si="54"/>
        <v>0.81188433428662221</v>
      </c>
      <c r="AO23" s="39">
        <f t="shared" si="54"/>
        <v>0.69626777816666141</v>
      </c>
      <c r="AP23" s="41">
        <f t="shared" si="54"/>
        <v>0.48764361586819854</v>
      </c>
      <c r="AQ23" s="37">
        <f t="shared" si="54"/>
        <v>0.74299603995508012</v>
      </c>
      <c r="AS23" s="42" t="s">
        <v>232</v>
      </c>
      <c r="AT23" s="413">
        <f t="shared" ref="AT23:BI23" si="55">AT17/AT22</f>
        <v>0.75169850981569764</v>
      </c>
      <c r="AU23" s="39">
        <f t="shared" si="55"/>
        <v>0.24512743628185907</v>
      </c>
      <c r="AV23" s="39">
        <f t="shared" si="55"/>
        <v>0.53358208955223885</v>
      </c>
      <c r="AW23" s="41">
        <f t="shared" si="55"/>
        <v>0.72212377080510093</v>
      </c>
      <c r="AX23" s="413">
        <f t="shared" si="55"/>
        <v>0.74358795163882874</v>
      </c>
      <c r="AY23" s="39">
        <f t="shared" si="55"/>
        <v>0.45061728395061729</v>
      </c>
      <c r="AZ23" s="39">
        <f t="shared" si="55"/>
        <v>0.61168384879725091</v>
      </c>
      <c r="BA23" s="41">
        <f t="shared" si="55"/>
        <v>0.72862014690451204</v>
      </c>
      <c r="BB23" s="413">
        <f t="shared" si="55"/>
        <v>0.77631344612644704</v>
      </c>
      <c r="BC23" s="39">
        <f t="shared" si="55"/>
        <v>0.65673575129533679</v>
      </c>
      <c r="BD23" s="39">
        <f t="shared" si="55"/>
        <v>1.0743405275779376</v>
      </c>
      <c r="BE23" s="41">
        <f t="shared" si="55"/>
        <v>0.77766501754831074</v>
      </c>
      <c r="BF23" s="413">
        <f t="shared" si="55"/>
        <v>0.75858697366346006</v>
      </c>
      <c r="BG23" s="39">
        <f t="shared" si="55"/>
        <v>0.40885984023238925</v>
      </c>
      <c r="BH23" s="41">
        <f t="shared" si="55"/>
        <v>0.69775132275132279</v>
      </c>
      <c r="BI23" s="37">
        <f t="shared" si="55"/>
        <v>0.74299603995508012</v>
      </c>
    </row>
  </sheetData>
  <mergeCells count="29">
    <mergeCell ref="R2:V2"/>
    <mergeCell ref="AM2:AQ2"/>
    <mergeCell ref="BB2:BE2"/>
    <mergeCell ref="BF2:BI2"/>
    <mergeCell ref="B3:B4"/>
    <mergeCell ref="C3:I3"/>
    <mergeCell ref="J3:M3"/>
    <mergeCell ref="O3:V3"/>
    <mergeCell ref="X3:X4"/>
    <mergeCell ref="Y3:AC3"/>
    <mergeCell ref="AX3:BA3"/>
    <mergeCell ref="AD3:AG3"/>
    <mergeCell ref="AH3:AL3"/>
    <mergeCell ref="AM3:AQ3"/>
    <mergeCell ref="AS3:AS4"/>
    <mergeCell ref="AT3:AW3"/>
    <mergeCell ref="BB19:BE19"/>
    <mergeCell ref="BF19:BI19"/>
    <mergeCell ref="BB3:BE3"/>
    <mergeCell ref="BF3:BI3"/>
    <mergeCell ref="C19:I19"/>
    <mergeCell ref="J19:M19"/>
    <mergeCell ref="O19:U19"/>
    <mergeCell ref="Y19:AC19"/>
    <mergeCell ref="AD19:AG19"/>
    <mergeCell ref="AH19:AL19"/>
    <mergeCell ref="AM19:AQ19"/>
    <mergeCell ref="AT19:AW19"/>
    <mergeCell ref="AX19:BA19"/>
  </mergeCells>
  <phoneticPr fontId="11"/>
  <pageMargins left="0.9055118110236221" right="0.31496062992125984" top="0.78740157480314965" bottom="0.55118110236220474" header="0.31496062992125984" footer="0.31496062992125984"/>
  <pageSetup paperSize="9" scale="8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/>
  </sheetPr>
  <dimension ref="A1:BB64997"/>
  <sheetViews>
    <sheetView view="pageBreakPreview" zoomScale="70" zoomScaleNormal="57" zoomScaleSheetLayoutView="70" workbookViewId="0"/>
  </sheetViews>
  <sheetFormatPr defaultColWidth="9" defaultRowHeight="12" x14ac:dyDescent="0.15"/>
  <cols>
    <col min="1" max="1" width="7.625" style="419" bestFit="1" customWidth="1"/>
    <col min="2" max="2" width="10.75" style="415" customWidth="1"/>
    <col min="3" max="3" width="0.875" style="415" customWidth="1"/>
    <col min="4" max="4" width="23.875" style="280" customWidth="1"/>
    <col min="5" max="17" width="5" style="280" customWidth="1"/>
    <col min="18" max="18" width="7.5" style="280" customWidth="1"/>
    <col min="19" max="19" width="0.875" style="280" customWidth="1"/>
    <col min="20" max="20" width="1.125" style="280" customWidth="1"/>
    <col min="21" max="21" width="23.875" style="280" customWidth="1"/>
    <col min="22" max="34" width="5" style="280" customWidth="1"/>
    <col min="35" max="35" width="7.5" style="280" customWidth="1"/>
    <col min="36" max="36" width="0.5" style="280" customWidth="1"/>
    <col min="37" max="37" width="1" style="280" customWidth="1"/>
    <col min="38" max="38" width="23.875" style="280" customWidth="1"/>
    <col min="39" max="51" width="5" style="280" customWidth="1"/>
    <col min="52" max="52" width="7.5" style="280" customWidth="1"/>
    <col min="53" max="53" width="2.375" style="280" customWidth="1"/>
    <col min="54" max="54" width="8" style="280" customWidth="1"/>
    <col min="55" max="16384" width="9" style="280"/>
  </cols>
  <sheetData>
    <row r="1" spans="1:54" s="283" customFormat="1" ht="21.75" customHeight="1" x14ac:dyDescent="0.15">
      <c r="A1" s="428"/>
      <c r="B1" s="414"/>
      <c r="C1" s="414"/>
      <c r="D1" s="409" t="s">
        <v>324</v>
      </c>
      <c r="E1" s="282"/>
      <c r="F1" s="282"/>
      <c r="G1" s="282"/>
      <c r="H1" s="282"/>
      <c r="I1" s="282"/>
      <c r="J1" s="282"/>
      <c r="K1" s="282"/>
      <c r="L1" s="282"/>
      <c r="M1" s="429"/>
      <c r="N1" s="282"/>
      <c r="O1" s="282"/>
      <c r="P1" s="282"/>
      <c r="Q1" s="560" t="s">
        <v>131</v>
      </c>
      <c r="R1" s="560"/>
      <c r="U1" s="409" t="s">
        <v>323</v>
      </c>
      <c r="V1" s="282"/>
      <c r="W1" s="282"/>
      <c r="X1" s="282"/>
      <c r="Y1" s="282"/>
      <c r="Z1" s="282"/>
      <c r="AA1" s="282"/>
      <c r="AB1" s="282"/>
      <c r="AC1" s="282"/>
      <c r="AD1" s="429"/>
      <c r="AE1" s="282"/>
      <c r="AF1" s="282"/>
      <c r="AG1" s="282"/>
      <c r="AH1" s="560" t="s">
        <v>131</v>
      </c>
      <c r="AI1" s="560"/>
      <c r="AL1" s="409" t="s">
        <v>322</v>
      </c>
      <c r="AM1" s="282"/>
      <c r="AN1" s="282"/>
      <c r="AO1" s="282"/>
      <c r="AP1" s="282"/>
      <c r="AQ1" s="282"/>
      <c r="AR1" s="282"/>
      <c r="AS1" s="282"/>
      <c r="AT1" s="282"/>
      <c r="AU1" s="429"/>
      <c r="AV1" s="282"/>
      <c r="AW1" s="282"/>
      <c r="AX1" s="282"/>
      <c r="AY1" s="560" t="s">
        <v>131</v>
      </c>
      <c r="AZ1" s="560"/>
    </row>
    <row r="2" spans="1:54" s="283" customFormat="1" ht="18.75" customHeight="1" x14ac:dyDescent="0.15">
      <c r="A2" s="418"/>
      <c r="B2" s="414"/>
      <c r="C2" s="414"/>
      <c r="D2" s="295" t="s">
        <v>201</v>
      </c>
      <c r="E2" s="296" t="s">
        <v>202</v>
      </c>
      <c r="F2" s="296" t="s">
        <v>79</v>
      </c>
      <c r="G2" s="296" t="s">
        <v>78</v>
      </c>
      <c r="H2" s="296" t="s">
        <v>77</v>
      </c>
      <c r="I2" s="296" t="s">
        <v>76</v>
      </c>
      <c r="J2" s="296" t="s">
        <v>75</v>
      </c>
      <c r="K2" s="296" t="s">
        <v>74</v>
      </c>
      <c r="L2" s="296" t="s">
        <v>73</v>
      </c>
      <c r="M2" s="296" t="s">
        <v>72</v>
      </c>
      <c r="N2" s="296" t="s">
        <v>71</v>
      </c>
      <c r="O2" s="296" t="s">
        <v>70</v>
      </c>
      <c r="P2" s="296" t="s">
        <v>69</v>
      </c>
      <c r="Q2" s="296" t="s">
        <v>10</v>
      </c>
      <c r="R2" s="295" t="s">
        <v>51</v>
      </c>
      <c r="U2" s="177" t="s">
        <v>136</v>
      </c>
      <c r="V2" s="284" t="s">
        <v>202</v>
      </c>
      <c r="W2" s="284" t="s">
        <v>79</v>
      </c>
      <c r="X2" s="284" t="s">
        <v>78</v>
      </c>
      <c r="Y2" s="284" t="s">
        <v>77</v>
      </c>
      <c r="Z2" s="284" t="s">
        <v>76</v>
      </c>
      <c r="AA2" s="284" t="s">
        <v>75</v>
      </c>
      <c r="AB2" s="284" t="s">
        <v>74</v>
      </c>
      <c r="AC2" s="284" t="s">
        <v>73</v>
      </c>
      <c r="AD2" s="284" t="s">
        <v>72</v>
      </c>
      <c r="AE2" s="284" t="s">
        <v>71</v>
      </c>
      <c r="AF2" s="284" t="s">
        <v>70</v>
      </c>
      <c r="AG2" s="284" t="s">
        <v>69</v>
      </c>
      <c r="AH2" s="284" t="s">
        <v>10</v>
      </c>
      <c r="AI2" s="177" t="s">
        <v>51</v>
      </c>
      <c r="AL2" s="177" t="s">
        <v>201</v>
      </c>
      <c r="AM2" s="284" t="s">
        <v>202</v>
      </c>
      <c r="AN2" s="284" t="s">
        <v>215</v>
      </c>
      <c r="AO2" s="284" t="s">
        <v>203</v>
      </c>
      <c r="AP2" s="284" t="s">
        <v>204</v>
      </c>
      <c r="AQ2" s="284" t="s">
        <v>216</v>
      </c>
      <c r="AR2" s="284" t="s">
        <v>205</v>
      </c>
      <c r="AS2" s="284" t="s">
        <v>206</v>
      </c>
      <c r="AT2" s="284" t="s">
        <v>207</v>
      </c>
      <c r="AU2" s="284" t="s">
        <v>208</v>
      </c>
      <c r="AV2" s="284" t="s">
        <v>209</v>
      </c>
      <c r="AW2" s="284" t="s">
        <v>210</v>
      </c>
      <c r="AX2" s="284" t="s">
        <v>211</v>
      </c>
      <c r="AY2" s="284" t="s">
        <v>10</v>
      </c>
      <c r="AZ2" s="177" t="s">
        <v>51</v>
      </c>
    </row>
    <row r="3" spans="1:54" s="283" customFormat="1" ht="18.75" customHeight="1" x14ac:dyDescent="0.15">
      <c r="A3" s="418"/>
      <c r="B3" s="414"/>
      <c r="C3" s="414"/>
      <c r="D3" s="297" t="s">
        <v>245</v>
      </c>
      <c r="E3" s="298">
        <v>10</v>
      </c>
      <c r="F3" s="298">
        <v>22</v>
      </c>
      <c r="G3" s="298">
        <v>5</v>
      </c>
      <c r="H3" s="298">
        <v>12</v>
      </c>
      <c r="I3" s="298">
        <v>22</v>
      </c>
      <c r="J3" s="298">
        <v>9</v>
      </c>
      <c r="K3" s="298">
        <v>17</v>
      </c>
      <c r="L3" s="298">
        <v>8</v>
      </c>
      <c r="M3" s="298">
        <v>6</v>
      </c>
      <c r="N3" s="298">
        <v>15</v>
      </c>
      <c r="O3" s="298">
        <v>16</v>
      </c>
      <c r="P3" s="298">
        <v>10</v>
      </c>
      <c r="Q3" s="298">
        <f>SUM(E3:P3)</f>
        <v>152</v>
      </c>
      <c r="R3" s="421">
        <f>+Q3/Q$22</f>
        <v>0.35431235431235431</v>
      </c>
      <c r="U3" s="299" t="s">
        <v>140</v>
      </c>
      <c r="V3" s="298">
        <v>2</v>
      </c>
      <c r="W3" s="298">
        <v>2</v>
      </c>
      <c r="X3" s="298">
        <v>4</v>
      </c>
      <c r="Y3" s="298">
        <v>1</v>
      </c>
      <c r="Z3" s="298">
        <v>2</v>
      </c>
      <c r="AA3" s="298">
        <v>5</v>
      </c>
      <c r="AB3" s="298">
        <v>2</v>
      </c>
      <c r="AC3" s="298">
        <v>4</v>
      </c>
      <c r="AD3" s="298">
        <v>7</v>
      </c>
      <c r="AE3" s="298">
        <v>4</v>
      </c>
      <c r="AF3" s="298">
        <v>1</v>
      </c>
      <c r="AG3" s="298">
        <v>3</v>
      </c>
      <c r="AH3" s="298">
        <f t="shared" ref="AH3:AH19" si="0">SUM(V3:AG3)</f>
        <v>37</v>
      </c>
      <c r="AI3" s="421">
        <f>+AH3/AH$22</f>
        <v>0.20786516853932585</v>
      </c>
      <c r="AL3" s="299" t="s">
        <v>245</v>
      </c>
      <c r="AM3" s="298">
        <v>19</v>
      </c>
      <c r="AN3" s="298">
        <v>22</v>
      </c>
      <c r="AO3" s="298">
        <v>20</v>
      </c>
      <c r="AP3" s="298">
        <v>30</v>
      </c>
      <c r="AQ3" s="298">
        <v>34</v>
      </c>
      <c r="AR3" s="298">
        <v>31</v>
      </c>
      <c r="AS3" s="298">
        <v>19</v>
      </c>
      <c r="AT3" s="298">
        <v>24</v>
      </c>
      <c r="AU3" s="298">
        <v>31</v>
      </c>
      <c r="AV3" s="298">
        <v>33</v>
      </c>
      <c r="AW3" s="298">
        <v>20</v>
      </c>
      <c r="AX3" s="298">
        <v>35</v>
      </c>
      <c r="AY3" s="298">
        <f t="shared" ref="AY3:AY11" si="1">SUM(AM3:AX3)</f>
        <v>318</v>
      </c>
      <c r="AZ3" s="421">
        <f>+AY3/AY$13</f>
        <v>0.7098214285714286</v>
      </c>
      <c r="BB3" s="427"/>
    </row>
    <row r="4" spans="1:54" s="283" customFormat="1" ht="18.75" customHeight="1" x14ac:dyDescent="0.15">
      <c r="A4" s="418"/>
      <c r="B4" s="414"/>
      <c r="C4" s="414"/>
      <c r="D4" s="300" t="s">
        <v>248</v>
      </c>
      <c r="E4" s="298">
        <v>3</v>
      </c>
      <c r="F4" s="298">
        <v>7</v>
      </c>
      <c r="G4" s="298">
        <v>1</v>
      </c>
      <c r="H4" s="298">
        <v>1</v>
      </c>
      <c r="I4" s="298">
        <v>5</v>
      </c>
      <c r="J4" s="298">
        <v>15</v>
      </c>
      <c r="K4" s="298">
        <v>4</v>
      </c>
      <c r="L4" s="298">
        <v>3</v>
      </c>
      <c r="M4" s="298">
        <v>6</v>
      </c>
      <c r="N4" s="298">
        <v>8</v>
      </c>
      <c r="O4" s="298">
        <v>2</v>
      </c>
      <c r="P4" s="298">
        <v>7</v>
      </c>
      <c r="Q4" s="298">
        <f t="shared" ref="Q4:Q21" si="2">SUM(E4:P4)</f>
        <v>62</v>
      </c>
      <c r="R4" s="421">
        <v>0.14399999999999999</v>
      </c>
      <c r="U4" s="299" t="s">
        <v>137</v>
      </c>
      <c r="V4" s="298">
        <v>4</v>
      </c>
      <c r="W4" s="298">
        <v>3</v>
      </c>
      <c r="X4" s="298">
        <v>3</v>
      </c>
      <c r="Y4" s="298">
        <v>3</v>
      </c>
      <c r="Z4" s="298">
        <v>4</v>
      </c>
      <c r="AA4" s="298">
        <v>2</v>
      </c>
      <c r="AB4" s="298">
        <v>4</v>
      </c>
      <c r="AC4" s="298">
        <v>1</v>
      </c>
      <c r="AD4" s="298">
        <v>6</v>
      </c>
      <c r="AE4" s="298">
        <v>2</v>
      </c>
      <c r="AF4" s="298">
        <v>0</v>
      </c>
      <c r="AG4" s="298">
        <v>2</v>
      </c>
      <c r="AH4" s="298">
        <f t="shared" si="0"/>
        <v>34</v>
      </c>
      <c r="AI4" s="421">
        <f t="shared" ref="AI4:AI20" si="3">+AH4/AH$22</f>
        <v>0.19101123595505617</v>
      </c>
      <c r="AL4" s="301" t="s">
        <v>256</v>
      </c>
      <c r="AM4" s="298">
        <v>8</v>
      </c>
      <c r="AN4" s="298">
        <v>4</v>
      </c>
      <c r="AO4" s="298">
        <v>5</v>
      </c>
      <c r="AP4" s="298">
        <v>4</v>
      </c>
      <c r="AQ4" s="298">
        <v>7</v>
      </c>
      <c r="AR4" s="298">
        <v>3</v>
      </c>
      <c r="AS4" s="298">
        <v>5</v>
      </c>
      <c r="AT4" s="298">
        <v>6</v>
      </c>
      <c r="AU4" s="298">
        <v>10</v>
      </c>
      <c r="AV4" s="298">
        <v>6</v>
      </c>
      <c r="AW4" s="298">
        <v>1</v>
      </c>
      <c r="AX4" s="298">
        <v>2</v>
      </c>
      <c r="AY4" s="298">
        <f t="shared" si="1"/>
        <v>61</v>
      </c>
      <c r="AZ4" s="421">
        <f t="shared" ref="AZ4:AZ12" si="4">+AY4/AY$13</f>
        <v>0.13616071428571427</v>
      </c>
      <c r="BB4" s="427"/>
    </row>
    <row r="5" spans="1:54" s="283" customFormat="1" ht="18.75" customHeight="1" x14ac:dyDescent="0.15">
      <c r="A5" s="418"/>
      <c r="B5" s="414"/>
      <c r="C5" s="414"/>
      <c r="D5" s="300" t="s">
        <v>247</v>
      </c>
      <c r="E5" s="298">
        <v>7</v>
      </c>
      <c r="F5" s="298">
        <v>4</v>
      </c>
      <c r="G5" s="298">
        <v>2</v>
      </c>
      <c r="H5" s="298">
        <v>4</v>
      </c>
      <c r="I5" s="298">
        <v>5</v>
      </c>
      <c r="J5" s="298">
        <v>7</v>
      </c>
      <c r="K5" s="298">
        <v>7</v>
      </c>
      <c r="L5" s="298">
        <v>6</v>
      </c>
      <c r="M5" s="298">
        <v>3</v>
      </c>
      <c r="N5" s="298">
        <v>6</v>
      </c>
      <c r="O5" s="298">
        <v>1</v>
      </c>
      <c r="P5" s="298">
        <v>5</v>
      </c>
      <c r="Q5" s="298">
        <f t="shared" si="2"/>
        <v>57</v>
      </c>
      <c r="R5" s="421">
        <f t="shared" ref="R5:R21" si="5">+Q5/Q$22</f>
        <v>0.13286713286713286</v>
      </c>
      <c r="U5" s="299" t="s">
        <v>139</v>
      </c>
      <c r="V5" s="298">
        <v>2</v>
      </c>
      <c r="W5" s="298">
        <v>3</v>
      </c>
      <c r="X5" s="298">
        <v>3</v>
      </c>
      <c r="Y5" s="298">
        <v>3</v>
      </c>
      <c r="Z5" s="298">
        <v>3</v>
      </c>
      <c r="AA5" s="298">
        <v>4</v>
      </c>
      <c r="AB5" s="298">
        <v>0</v>
      </c>
      <c r="AC5" s="298">
        <v>2</v>
      </c>
      <c r="AD5" s="298">
        <v>6</v>
      </c>
      <c r="AE5" s="298">
        <v>1</v>
      </c>
      <c r="AF5" s="298">
        <v>4</v>
      </c>
      <c r="AG5" s="298">
        <v>2</v>
      </c>
      <c r="AH5" s="298">
        <f t="shared" si="0"/>
        <v>33</v>
      </c>
      <c r="AI5" s="421">
        <f t="shared" si="3"/>
        <v>0.1853932584269663</v>
      </c>
      <c r="AL5" s="301" t="s">
        <v>247</v>
      </c>
      <c r="AM5" s="298">
        <v>1</v>
      </c>
      <c r="AN5" s="298">
        <v>3</v>
      </c>
      <c r="AO5" s="298">
        <v>1</v>
      </c>
      <c r="AP5" s="298">
        <v>2</v>
      </c>
      <c r="AQ5" s="298">
        <v>3</v>
      </c>
      <c r="AR5" s="298">
        <v>4</v>
      </c>
      <c r="AS5" s="298">
        <v>4</v>
      </c>
      <c r="AT5" s="298">
        <v>4</v>
      </c>
      <c r="AU5" s="298">
        <v>6</v>
      </c>
      <c r="AV5" s="298">
        <v>5</v>
      </c>
      <c r="AW5" s="298">
        <v>0</v>
      </c>
      <c r="AX5" s="298">
        <v>4</v>
      </c>
      <c r="AY5" s="298">
        <f t="shared" si="1"/>
        <v>37</v>
      </c>
      <c r="AZ5" s="421">
        <f t="shared" si="4"/>
        <v>8.2589285714285712E-2</v>
      </c>
      <c r="BB5" s="427"/>
    </row>
    <row r="6" spans="1:54" s="283" customFormat="1" ht="18.75" customHeight="1" x14ac:dyDescent="0.15">
      <c r="A6" s="418"/>
      <c r="B6" s="417"/>
      <c r="C6" s="417"/>
      <c r="D6" s="300" t="s">
        <v>246</v>
      </c>
      <c r="E6" s="298">
        <v>8</v>
      </c>
      <c r="F6" s="298">
        <v>2</v>
      </c>
      <c r="G6" s="298">
        <v>4</v>
      </c>
      <c r="H6" s="298">
        <v>4</v>
      </c>
      <c r="I6" s="298">
        <v>8</v>
      </c>
      <c r="J6" s="298">
        <v>0</v>
      </c>
      <c r="K6" s="298">
        <v>5</v>
      </c>
      <c r="L6" s="298">
        <v>6</v>
      </c>
      <c r="M6" s="298">
        <v>8</v>
      </c>
      <c r="N6" s="298">
        <v>6</v>
      </c>
      <c r="O6" s="298">
        <v>4</v>
      </c>
      <c r="P6" s="298">
        <v>1</v>
      </c>
      <c r="Q6" s="298">
        <f t="shared" si="2"/>
        <v>56</v>
      </c>
      <c r="R6" s="421">
        <f t="shared" si="5"/>
        <v>0.13053613053613053</v>
      </c>
      <c r="U6" s="299" t="s">
        <v>144</v>
      </c>
      <c r="V6" s="298">
        <v>0</v>
      </c>
      <c r="W6" s="298">
        <v>2</v>
      </c>
      <c r="X6" s="298">
        <v>4</v>
      </c>
      <c r="Y6" s="298">
        <v>2</v>
      </c>
      <c r="Z6" s="298">
        <v>0</v>
      </c>
      <c r="AA6" s="298">
        <v>2</v>
      </c>
      <c r="AB6" s="298">
        <v>0</v>
      </c>
      <c r="AC6" s="298">
        <v>0</v>
      </c>
      <c r="AD6" s="298">
        <v>2</v>
      </c>
      <c r="AE6" s="298">
        <v>1</v>
      </c>
      <c r="AF6" s="298">
        <v>0</v>
      </c>
      <c r="AG6" s="298">
        <v>1</v>
      </c>
      <c r="AH6" s="298">
        <f t="shared" si="0"/>
        <v>14</v>
      </c>
      <c r="AI6" s="421">
        <f t="shared" si="3"/>
        <v>7.8651685393258425E-2</v>
      </c>
      <c r="AL6" s="301" t="s">
        <v>248</v>
      </c>
      <c r="AM6" s="298">
        <v>0</v>
      </c>
      <c r="AN6" s="298">
        <v>1</v>
      </c>
      <c r="AO6" s="298">
        <v>0</v>
      </c>
      <c r="AP6" s="298">
        <v>1</v>
      </c>
      <c r="AQ6" s="298">
        <v>0</v>
      </c>
      <c r="AR6" s="298">
        <v>0</v>
      </c>
      <c r="AS6" s="298">
        <v>2</v>
      </c>
      <c r="AT6" s="298">
        <v>1</v>
      </c>
      <c r="AU6" s="298">
        <v>2</v>
      </c>
      <c r="AV6" s="298">
        <v>2</v>
      </c>
      <c r="AW6" s="298">
        <v>0</v>
      </c>
      <c r="AX6" s="298">
        <v>2</v>
      </c>
      <c r="AY6" s="298">
        <f t="shared" si="1"/>
        <v>11</v>
      </c>
      <c r="AZ6" s="421">
        <v>2.4E-2</v>
      </c>
      <c r="BB6" s="427"/>
    </row>
    <row r="7" spans="1:54" s="283" customFormat="1" ht="18.75" customHeight="1" x14ac:dyDescent="0.15">
      <c r="A7" s="418"/>
      <c r="B7" s="414"/>
      <c r="C7" s="414"/>
      <c r="D7" s="300" t="s">
        <v>249</v>
      </c>
      <c r="E7" s="298">
        <v>1</v>
      </c>
      <c r="F7" s="298">
        <v>3</v>
      </c>
      <c r="G7" s="298">
        <v>2</v>
      </c>
      <c r="H7" s="298">
        <v>4</v>
      </c>
      <c r="I7" s="298">
        <v>4</v>
      </c>
      <c r="J7" s="298">
        <v>4</v>
      </c>
      <c r="K7" s="298">
        <v>9</v>
      </c>
      <c r="L7" s="298">
        <v>3</v>
      </c>
      <c r="M7" s="298">
        <v>3</v>
      </c>
      <c r="N7" s="298">
        <v>3</v>
      </c>
      <c r="O7" s="298">
        <v>3</v>
      </c>
      <c r="P7" s="298">
        <v>8</v>
      </c>
      <c r="Q7" s="298">
        <f t="shared" si="2"/>
        <v>47</v>
      </c>
      <c r="R7" s="421">
        <f t="shared" si="5"/>
        <v>0.10955710955710955</v>
      </c>
      <c r="S7" s="451"/>
      <c r="T7" s="450"/>
      <c r="U7" s="299" t="s">
        <v>141</v>
      </c>
      <c r="V7" s="298">
        <v>2</v>
      </c>
      <c r="W7" s="298">
        <v>3</v>
      </c>
      <c r="X7" s="298">
        <v>1</v>
      </c>
      <c r="Y7" s="298">
        <v>1</v>
      </c>
      <c r="Z7" s="298">
        <v>1</v>
      </c>
      <c r="AA7" s="298">
        <v>1</v>
      </c>
      <c r="AB7" s="298">
        <v>0</v>
      </c>
      <c r="AC7" s="298">
        <v>2</v>
      </c>
      <c r="AD7" s="298">
        <v>1</v>
      </c>
      <c r="AE7" s="298">
        <v>0</v>
      </c>
      <c r="AF7" s="298">
        <v>0</v>
      </c>
      <c r="AG7" s="298">
        <v>0</v>
      </c>
      <c r="AH7" s="298">
        <f t="shared" si="0"/>
        <v>12</v>
      </c>
      <c r="AI7" s="421">
        <f t="shared" si="3"/>
        <v>6.741573033707865E-2</v>
      </c>
      <c r="AL7" s="301" t="s">
        <v>254</v>
      </c>
      <c r="AM7" s="298">
        <v>0</v>
      </c>
      <c r="AN7" s="298">
        <v>2</v>
      </c>
      <c r="AO7" s="298">
        <v>2</v>
      </c>
      <c r="AP7" s="298">
        <v>0</v>
      </c>
      <c r="AQ7" s="298">
        <v>0</v>
      </c>
      <c r="AR7" s="298">
        <v>0</v>
      </c>
      <c r="AS7" s="298">
        <v>0</v>
      </c>
      <c r="AT7" s="298">
        <v>0</v>
      </c>
      <c r="AU7" s="298">
        <v>1</v>
      </c>
      <c r="AV7" s="298">
        <v>2</v>
      </c>
      <c r="AW7" s="298">
        <v>0</v>
      </c>
      <c r="AX7" s="298">
        <v>1</v>
      </c>
      <c r="AY7" s="298">
        <f t="shared" si="1"/>
        <v>8</v>
      </c>
      <c r="AZ7" s="421">
        <f t="shared" si="4"/>
        <v>1.7857142857142856E-2</v>
      </c>
      <c r="BB7" s="427"/>
    </row>
    <row r="8" spans="1:54" s="283" customFormat="1" ht="18.75" customHeight="1" x14ac:dyDescent="0.15">
      <c r="A8" s="418"/>
      <c r="B8" s="414"/>
      <c r="C8" s="414"/>
      <c r="D8" s="300" t="s">
        <v>251</v>
      </c>
      <c r="E8" s="298">
        <v>1</v>
      </c>
      <c r="F8" s="298">
        <v>2</v>
      </c>
      <c r="G8" s="298">
        <v>0</v>
      </c>
      <c r="H8" s="298">
        <v>1</v>
      </c>
      <c r="I8" s="298">
        <v>1</v>
      </c>
      <c r="J8" s="298">
        <v>1</v>
      </c>
      <c r="K8" s="298">
        <v>0</v>
      </c>
      <c r="L8" s="298">
        <v>0</v>
      </c>
      <c r="M8" s="298">
        <v>0</v>
      </c>
      <c r="N8" s="298">
        <v>1</v>
      </c>
      <c r="O8" s="298">
        <v>1</v>
      </c>
      <c r="P8" s="298">
        <v>1</v>
      </c>
      <c r="Q8" s="298">
        <f t="shared" si="2"/>
        <v>9</v>
      </c>
      <c r="R8" s="421">
        <f t="shared" si="5"/>
        <v>2.097902097902098E-2</v>
      </c>
      <c r="S8" s="451"/>
      <c r="T8" s="450"/>
      <c r="U8" s="299" t="s">
        <v>138</v>
      </c>
      <c r="V8" s="298">
        <v>2</v>
      </c>
      <c r="W8" s="298">
        <v>0</v>
      </c>
      <c r="X8" s="298">
        <v>0</v>
      </c>
      <c r="Y8" s="298">
        <v>0</v>
      </c>
      <c r="Z8" s="298">
        <v>0</v>
      </c>
      <c r="AA8" s="298">
        <v>1</v>
      </c>
      <c r="AB8" s="298">
        <v>1</v>
      </c>
      <c r="AC8" s="298">
        <v>1</v>
      </c>
      <c r="AD8" s="298">
        <v>4</v>
      </c>
      <c r="AE8" s="298">
        <v>1</v>
      </c>
      <c r="AF8" s="298">
        <v>0</v>
      </c>
      <c r="AG8" s="298">
        <v>2</v>
      </c>
      <c r="AH8" s="298">
        <f t="shared" si="0"/>
        <v>12</v>
      </c>
      <c r="AI8" s="421">
        <f t="shared" si="3"/>
        <v>6.741573033707865E-2</v>
      </c>
      <c r="AL8" s="301" t="s">
        <v>251</v>
      </c>
      <c r="AM8" s="298">
        <v>0</v>
      </c>
      <c r="AN8" s="298">
        <v>1</v>
      </c>
      <c r="AO8" s="298">
        <v>0</v>
      </c>
      <c r="AP8" s="298">
        <v>0</v>
      </c>
      <c r="AQ8" s="298">
        <v>0</v>
      </c>
      <c r="AR8" s="298">
        <v>0</v>
      </c>
      <c r="AS8" s="298">
        <v>0</v>
      </c>
      <c r="AT8" s="298"/>
      <c r="AU8" s="298">
        <v>1</v>
      </c>
      <c r="AV8" s="298">
        <v>2</v>
      </c>
      <c r="AW8" s="298">
        <v>3</v>
      </c>
      <c r="AX8" s="298"/>
      <c r="AY8" s="298">
        <f t="shared" si="1"/>
        <v>7</v>
      </c>
      <c r="AZ8" s="421">
        <f t="shared" si="4"/>
        <v>1.5625E-2</v>
      </c>
      <c r="BB8" s="427"/>
    </row>
    <row r="9" spans="1:54" s="283" customFormat="1" ht="18.75" customHeight="1" x14ac:dyDescent="0.15">
      <c r="A9" s="418"/>
      <c r="B9" s="414"/>
      <c r="C9" s="414"/>
      <c r="D9" s="300" t="s">
        <v>254</v>
      </c>
      <c r="E9" s="298">
        <v>0</v>
      </c>
      <c r="F9" s="298">
        <v>1</v>
      </c>
      <c r="G9" s="298">
        <v>0</v>
      </c>
      <c r="H9" s="298">
        <v>1</v>
      </c>
      <c r="I9" s="298">
        <v>0</v>
      </c>
      <c r="J9" s="298">
        <v>1</v>
      </c>
      <c r="K9" s="298">
        <v>0</v>
      </c>
      <c r="L9" s="298">
        <v>1</v>
      </c>
      <c r="M9" s="298">
        <v>2</v>
      </c>
      <c r="N9" s="298">
        <v>1</v>
      </c>
      <c r="O9" s="298">
        <v>0</v>
      </c>
      <c r="P9" s="298">
        <v>1</v>
      </c>
      <c r="Q9" s="298">
        <f t="shared" si="2"/>
        <v>8</v>
      </c>
      <c r="R9" s="421">
        <f t="shared" si="5"/>
        <v>1.8648018648018648E-2</v>
      </c>
      <c r="S9" s="451"/>
      <c r="T9" s="450"/>
      <c r="U9" s="299" t="s">
        <v>142</v>
      </c>
      <c r="V9" s="298">
        <v>0</v>
      </c>
      <c r="W9" s="298">
        <v>2</v>
      </c>
      <c r="X9" s="298">
        <v>0</v>
      </c>
      <c r="Y9" s="298">
        <v>0</v>
      </c>
      <c r="Z9" s="298">
        <v>1</v>
      </c>
      <c r="AA9" s="298">
        <v>0</v>
      </c>
      <c r="AB9" s="298">
        <v>0</v>
      </c>
      <c r="AC9" s="298">
        <v>1</v>
      </c>
      <c r="AD9" s="298">
        <v>2</v>
      </c>
      <c r="AE9" s="298">
        <v>0</v>
      </c>
      <c r="AF9" s="298">
        <v>1</v>
      </c>
      <c r="AG9" s="298">
        <v>2</v>
      </c>
      <c r="AH9" s="298">
        <f t="shared" si="0"/>
        <v>9</v>
      </c>
      <c r="AI9" s="421">
        <v>0.05</v>
      </c>
      <c r="AL9" s="299" t="s">
        <v>184</v>
      </c>
      <c r="AM9" s="298"/>
      <c r="AN9" s="298"/>
      <c r="AO9" s="298"/>
      <c r="AP9" s="298"/>
      <c r="AQ9" s="298"/>
      <c r="AR9" s="298">
        <v>1</v>
      </c>
      <c r="AS9" s="298"/>
      <c r="AT9" s="298"/>
      <c r="AU9" s="298">
        <v>1</v>
      </c>
      <c r="AV9" s="298">
        <v>1</v>
      </c>
      <c r="AW9" s="298"/>
      <c r="AX9" s="298"/>
      <c r="AY9" s="298">
        <f t="shared" si="1"/>
        <v>3</v>
      </c>
      <c r="AZ9" s="421">
        <f t="shared" si="4"/>
        <v>6.6964285714285711E-3</v>
      </c>
      <c r="BB9" s="427"/>
    </row>
    <row r="10" spans="1:54" s="283" customFormat="1" ht="18.75" customHeight="1" x14ac:dyDescent="0.15">
      <c r="A10" s="418"/>
      <c r="B10" s="414"/>
      <c r="C10" s="414"/>
      <c r="D10" s="300" t="s">
        <v>253</v>
      </c>
      <c r="E10" s="298">
        <v>0</v>
      </c>
      <c r="F10" s="298">
        <v>2</v>
      </c>
      <c r="G10" s="298">
        <v>0</v>
      </c>
      <c r="H10" s="298">
        <v>0</v>
      </c>
      <c r="I10" s="298">
        <v>0</v>
      </c>
      <c r="J10" s="298">
        <v>1</v>
      </c>
      <c r="K10" s="298">
        <v>0</v>
      </c>
      <c r="L10" s="298">
        <v>1</v>
      </c>
      <c r="M10" s="298">
        <v>1</v>
      </c>
      <c r="N10" s="298">
        <v>1</v>
      </c>
      <c r="O10" s="298">
        <v>0</v>
      </c>
      <c r="P10" s="298">
        <v>2</v>
      </c>
      <c r="Q10" s="298">
        <f t="shared" si="2"/>
        <v>8</v>
      </c>
      <c r="R10" s="421">
        <f t="shared" si="5"/>
        <v>1.8648018648018648E-2</v>
      </c>
      <c r="S10" s="451"/>
      <c r="T10" s="450"/>
      <c r="U10" s="299" t="s">
        <v>145</v>
      </c>
      <c r="V10" s="298">
        <v>0</v>
      </c>
      <c r="W10" s="298">
        <v>2</v>
      </c>
      <c r="X10" s="298">
        <v>0</v>
      </c>
      <c r="Y10" s="298">
        <v>0</v>
      </c>
      <c r="Z10" s="298">
        <v>1</v>
      </c>
      <c r="AA10" s="298">
        <v>1</v>
      </c>
      <c r="AB10" s="298">
        <v>0</v>
      </c>
      <c r="AC10" s="298">
        <v>1</v>
      </c>
      <c r="AD10" s="298">
        <v>0</v>
      </c>
      <c r="AE10" s="298">
        <v>2</v>
      </c>
      <c r="AF10" s="298">
        <v>0</v>
      </c>
      <c r="AG10" s="298">
        <v>0</v>
      </c>
      <c r="AH10" s="298">
        <f t="shared" si="0"/>
        <v>7</v>
      </c>
      <c r="AI10" s="421">
        <f t="shared" si="3"/>
        <v>3.9325842696629212E-2</v>
      </c>
      <c r="AL10" s="300" t="s">
        <v>257</v>
      </c>
      <c r="AM10" s="298"/>
      <c r="AN10" s="298"/>
      <c r="AO10" s="298"/>
      <c r="AP10" s="298"/>
      <c r="AQ10" s="298"/>
      <c r="AR10" s="298"/>
      <c r="AS10" s="298">
        <v>1</v>
      </c>
      <c r="AT10" s="298"/>
      <c r="AU10" s="298"/>
      <c r="AV10" s="298"/>
      <c r="AW10" s="298"/>
      <c r="AX10" s="298"/>
      <c r="AY10" s="298">
        <f t="shared" si="1"/>
        <v>1</v>
      </c>
      <c r="AZ10" s="421">
        <f t="shared" si="4"/>
        <v>2.232142857142857E-3</v>
      </c>
      <c r="BB10" s="427"/>
    </row>
    <row r="11" spans="1:54" s="283" customFormat="1" ht="18.75" customHeight="1" x14ac:dyDescent="0.15">
      <c r="A11" s="418"/>
      <c r="B11" s="414"/>
      <c r="C11" s="414"/>
      <c r="D11" s="300" t="s">
        <v>250</v>
      </c>
      <c r="E11" s="298">
        <v>1</v>
      </c>
      <c r="F11" s="298">
        <v>1</v>
      </c>
      <c r="G11" s="298">
        <v>1</v>
      </c>
      <c r="H11" s="298">
        <v>1</v>
      </c>
      <c r="I11" s="298">
        <v>1</v>
      </c>
      <c r="J11" s="298">
        <v>1</v>
      </c>
      <c r="K11" s="298"/>
      <c r="L11" s="298">
        <v>1</v>
      </c>
      <c r="M11" s="298">
        <v>0</v>
      </c>
      <c r="N11" s="298">
        <v>0</v>
      </c>
      <c r="O11" s="298">
        <v>0</v>
      </c>
      <c r="P11" s="298"/>
      <c r="Q11" s="298">
        <f t="shared" si="2"/>
        <v>7</v>
      </c>
      <c r="R11" s="421">
        <f t="shared" si="5"/>
        <v>1.6317016317016316E-2</v>
      </c>
      <c r="S11" s="451"/>
      <c r="T11" s="450"/>
      <c r="U11" s="299" t="s">
        <v>143</v>
      </c>
      <c r="V11" s="298">
        <v>1</v>
      </c>
      <c r="W11" s="298">
        <v>0</v>
      </c>
      <c r="X11" s="298">
        <v>1</v>
      </c>
      <c r="Y11" s="298">
        <v>0</v>
      </c>
      <c r="Z11" s="298">
        <v>1</v>
      </c>
      <c r="AA11" s="298">
        <v>0</v>
      </c>
      <c r="AB11" s="298">
        <v>0</v>
      </c>
      <c r="AC11" s="298">
        <v>1</v>
      </c>
      <c r="AD11" s="298">
        <v>0</v>
      </c>
      <c r="AE11" s="298">
        <v>0</v>
      </c>
      <c r="AF11" s="298">
        <v>0</v>
      </c>
      <c r="AG11" s="298">
        <v>0</v>
      </c>
      <c r="AH11" s="298">
        <f t="shared" si="0"/>
        <v>4</v>
      </c>
      <c r="AI11" s="421">
        <f t="shared" si="3"/>
        <v>2.247191011235955E-2</v>
      </c>
      <c r="AL11" s="301" t="s">
        <v>308</v>
      </c>
      <c r="AM11" s="298"/>
      <c r="AN11" s="298"/>
      <c r="AO11" s="298"/>
      <c r="AP11" s="298"/>
      <c r="AQ11" s="298"/>
      <c r="AR11" s="298"/>
      <c r="AS11" s="298">
        <v>1</v>
      </c>
      <c r="AT11" s="298"/>
      <c r="AU11" s="298"/>
      <c r="AV11" s="298"/>
      <c r="AW11" s="298"/>
      <c r="AX11" s="298"/>
      <c r="AY11" s="298">
        <f t="shared" si="1"/>
        <v>1</v>
      </c>
      <c r="AZ11" s="421">
        <f t="shared" si="4"/>
        <v>2.232142857142857E-3</v>
      </c>
      <c r="BB11" s="427"/>
    </row>
    <row r="12" spans="1:54" s="283" customFormat="1" ht="18.75" customHeight="1" thickBot="1" x14ac:dyDescent="0.2">
      <c r="A12" s="418"/>
      <c r="B12" s="417"/>
      <c r="C12" s="417"/>
      <c r="D12" s="300" t="s">
        <v>252</v>
      </c>
      <c r="E12" s="298">
        <v>0</v>
      </c>
      <c r="F12" s="298">
        <v>1</v>
      </c>
      <c r="G12" s="298">
        <v>0</v>
      </c>
      <c r="H12" s="298">
        <v>1</v>
      </c>
      <c r="I12" s="298">
        <v>0</v>
      </c>
      <c r="J12" s="298">
        <v>1</v>
      </c>
      <c r="K12" s="298">
        <v>0</v>
      </c>
      <c r="L12" s="298">
        <v>1</v>
      </c>
      <c r="M12" s="298">
        <v>2</v>
      </c>
      <c r="N12" s="298">
        <v>0</v>
      </c>
      <c r="O12" s="298">
        <v>0</v>
      </c>
      <c r="P12" s="298">
        <v>1</v>
      </c>
      <c r="Q12" s="298">
        <f t="shared" si="2"/>
        <v>7</v>
      </c>
      <c r="R12" s="421">
        <f t="shared" si="5"/>
        <v>1.6317016317016316E-2</v>
      </c>
      <c r="S12" s="451"/>
      <c r="T12" s="450"/>
      <c r="U12" s="300" t="s">
        <v>257</v>
      </c>
      <c r="V12" s="298">
        <v>0</v>
      </c>
      <c r="W12" s="298">
        <v>0</v>
      </c>
      <c r="X12" s="298"/>
      <c r="Y12" s="298">
        <v>0</v>
      </c>
      <c r="Z12" s="298">
        <v>0</v>
      </c>
      <c r="AA12" s="298">
        <v>1</v>
      </c>
      <c r="AB12" s="298">
        <v>0</v>
      </c>
      <c r="AC12" s="298">
        <v>1</v>
      </c>
      <c r="AD12" s="298">
        <v>0</v>
      </c>
      <c r="AE12" s="298">
        <v>1</v>
      </c>
      <c r="AF12" s="298">
        <v>0</v>
      </c>
      <c r="AG12" s="298">
        <v>0</v>
      </c>
      <c r="AH12" s="298">
        <f t="shared" si="0"/>
        <v>3</v>
      </c>
      <c r="AI12" s="421">
        <f t="shared" si="3"/>
        <v>1.6853932584269662E-2</v>
      </c>
      <c r="AL12" s="301" t="s">
        <v>309</v>
      </c>
      <c r="AM12" s="298"/>
      <c r="AN12" s="298"/>
      <c r="AO12" s="298"/>
      <c r="AP12" s="298"/>
      <c r="AQ12" s="298"/>
      <c r="AR12" s="298">
        <v>1</v>
      </c>
      <c r="AS12" s="298"/>
      <c r="AT12" s="298"/>
      <c r="AU12" s="298"/>
      <c r="AV12" s="298">
        <v>0</v>
      </c>
      <c r="AW12" s="298">
        <v>0</v>
      </c>
      <c r="AX12" s="298">
        <v>0</v>
      </c>
      <c r="AY12" s="298">
        <f t="shared" ref="AY12" si="6">SUM(AM12:AX12)</f>
        <v>1</v>
      </c>
      <c r="AZ12" s="421">
        <f t="shared" si="4"/>
        <v>2.232142857142857E-3</v>
      </c>
      <c r="BB12" s="427"/>
    </row>
    <row r="13" spans="1:54" s="283" customFormat="1" ht="18.75" customHeight="1" thickBot="1" x14ac:dyDescent="0.2">
      <c r="A13" s="418"/>
      <c r="B13" s="414"/>
      <c r="C13" s="414"/>
      <c r="D13" s="300" t="s">
        <v>255</v>
      </c>
      <c r="E13" s="298">
        <v>0</v>
      </c>
      <c r="F13" s="298">
        <v>0</v>
      </c>
      <c r="G13" s="298">
        <v>0</v>
      </c>
      <c r="H13" s="298">
        <v>1</v>
      </c>
      <c r="I13" s="298">
        <v>1</v>
      </c>
      <c r="J13" s="298">
        <v>1</v>
      </c>
      <c r="K13" s="298">
        <v>0</v>
      </c>
      <c r="L13" s="298">
        <v>0</v>
      </c>
      <c r="M13" s="298">
        <v>0</v>
      </c>
      <c r="N13" s="298">
        <v>0</v>
      </c>
      <c r="O13" s="298">
        <v>1</v>
      </c>
      <c r="P13" s="298">
        <v>0</v>
      </c>
      <c r="Q13" s="298">
        <f t="shared" si="2"/>
        <v>4</v>
      </c>
      <c r="R13" s="421">
        <f t="shared" si="5"/>
        <v>9.324009324009324E-3</v>
      </c>
      <c r="S13" s="451"/>
      <c r="T13" s="450"/>
      <c r="U13" s="299" t="s">
        <v>148</v>
      </c>
      <c r="V13" s="298">
        <v>0</v>
      </c>
      <c r="W13" s="298"/>
      <c r="X13" s="298">
        <v>0</v>
      </c>
      <c r="Y13" s="298">
        <v>1</v>
      </c>
      <c r="Z13" s="298">
        <v>0</v>
      </c>
      <c r="AA13" s="298">
        <v>1</v>
      </c>
      <c r="AB13" s="298">
        <v>0</v>
      </c>
      <c r="AC13" s="298">
        <v>0</v>
      </c>
      <c r="AD13" s="298">
        <v>0</v>
      </c>
      <c r="AE13" s="298">
        <v>0</v>
      </c>
      <c r="AF13" s="298">
        <v>0</v>
      </c>
      <c r="AG13" s="298">
        <v>1</v>
      </c>
      <c r="AH13" s="298">
        <f t="shared" si="0"/>
        <v>3</v>
      </c>
      <c r="AI13" s="421">
        <f t="shared" si="3"/>
        <v>1.6853932584269662E-2</v>
      </c>
      <c r="AL13" s="302" t="s">
        <v>68</v>
      </c>
      <c r="AM13" s="303">
        <f>SUM(AM3:AM12)</f>
        <v>28</v>
      </c>
      <c r="AN13" s="303">
        <f t="shared" ref="AN13:AY13" si="7">SUM(AN3:AN12)</f>
        <v>33</v>
      </c>
      <c r="AO13" s="303">
        <f t="shared" si="7"/>
        <v>28</v>
      </c>
      <c r="AP13" s="303">
        <f t="shared" si="7"/>
        <v>37</v>
      </c>
      <c r="AQ13" s="303">
        <f t="shared" si="7"/>
        <v>44</v>
      </c>
      <c r="AR13" s="303">
        <f t="shared" si="7"/>
        <v>40</v>
      </c>
      <c r="AS13" s="303">
        <f t="shared" si="7"/>
        <v>32</v>
      </c>
      <c r="AT13" s="303">
        <f t="shared" si="7"/>
        <v>35</v>
      </c>
      <c r="AU13" s="303">
        <f t="shared" si="7"/>
        <v>52</v>
      </c>
      <c r="AV13" s="303">
        <f t="shared" si="7"/>
        <v>51</v>
      </c>
      <c r="AW13" s="303">
        <f t="shared" si="7"/>
        <v>24</v>
      </c>
      <c r="AX13" s="303">
        <f t="shared" si="7"/>
        <v>44</v>
      </c>
      <c r="AY13" s="303">
        <f t="shared" si="7"/>
        <v>448</v>
      </c>
      <c r="AZ13" s="304">
        <v>1</v>
      </c>
    </row>
    <row r="14" spans="1:54" s="283" customFormat="1" ht="18.75" customHeight="1" x14ac:dyDescent="0.15">
      <c r="A14" s="418"/>
      <c r="B14" s="414"/>
      <c r="C14" s="414"/>
      <c r="D14" s="300" t="s">
        <v>257</v>
      </c>
      <c r="E14" s="298">
        <v>0</v>
      </c>
      <c r="F14" s="298">
        <v>0</v>
      </c>
      <c r="G14" s="298">
        <v>1</v>
      </c>
      <c r="H14" s="298">
        <v>0</v>
      </c>
      <c r="I14" s="298">
        <v>0</v>
      </c>
      <c r="J14" s="298">
        <v>1</v>
      </c>
      <c r="K14" s="298">
        <v>0</v>
      </c>
      <c r="L14" s="298">
        <v>0</v>
      </c>
      <c r="M14" s="298">
        <v>0</v>
      </c>
      <c r="N14" s="298">
        <v>0</v>
      </c>
      <c r="O14" s="298">
        <v>0</v>
      </c>
      <c r="P14" s="298">
        <v>0</v>
      </c>
      <c r="Q14" s="298">
        <f t="shared" si="2"/>
        <v>2</v>
      </c>
      <c r="R14" s="421">
        <f t="shared" si="5"/>
        <v>4.662004662004662E-3</v>
      </c>
      <c r="S14" s="451"/>
      <c r="T14" s="450"/>
      <c r="U14" s="299" t="s">
        <v>147</v>
      </c>
      <c r="V14" s="298">
        <v>0</v>
      </c>
      <c r="W14" s="298">
        <v>2</v>
      </c>
      <c r="X14" s="298">
        <v>0</v>
      </c>
      <c r="Y14" s="298"/>
      <c r="Z14" s="298">
        <v>0</v>
      </c>
      <c r="AA14" s="298"/>
      <c r="AB14" s="298">
        <v>0</v>
      </c>
      <c r="AC14" s="298">
        <v>0</v>
      </c>
      <c r="AD14" s="298">
        <v>0</v>
      </c>
      <c r="AE14" s="298">
        <v>0</v>
      </c>
      <c r="AF14" s="298">
        <v>0</v>
      </c>
      <c r="AG14" s="298"/>
      <c r="AH14" s="298">
        <f t="shared" si="0"/>
        <v>2</v>
      </c>
      <c r="AI14" s="421">
        <f t="shared" si="3"/>
        <v>1.1235955056179775E-2</v>
      </c>
      <c r="AL14" s="305" t="s">
        <v>260</v>
      </c>
      <c r="AM14" s="306">
        <v>1.25</v>
      </c>
      <c r="AN14" s="306">
        <v>1.1818181818181819</v>
      </c>
      <c r="AO14" s="306">
        <v>1.1428571428571428</v>
      </c>
      <c r="AP14" s="306">
        <v>1.2432432432432432</v>
      </c>
      <c r="AQ14" s="306">
        <v>1.2</v>
      </c>
      <c r="AR14" s="306">
        <v>1.1428571428571428</v>
      </c>
      <c r="AS14" s="306">
        <v>1.4</v>
      </c>
      <c r="AT14" s="306">
        <v>1.3</v>
      </c>
      <c r="AU14" s="306">
        <v>1.4</v>
      </c>
      <c r="AV14" s="306">
        <v>1.2</v>
      </c>
      <c r="AW14" s="306">
        <v>1.2</v>
      </c>
      <c r="AX14" s="306">
        <v>1.1000000000000001</v>
      </c>
      <c r="AY14" s="307">
        <v>1.2230769230769232</v>
      </c>
      <c r="AZ14" s="307"/>
    </row>
    <row r="15" spans="1:54" s="283" customFormat="1" ht="18.75" customHeight="1" x14ac:dyDescent="0.15">
      <c r="A15" s="418"/>
      <c r="B15" s="414"/>
      <c r="C15" s="414"/>
      <c r="D15" s="300" t="s">
        <v>259</v>
      </c>
      <c r="E15" s="298">
        <v>0</v>
      </c>
      <c r="F15" s="298">
        <v>1</v>
      </c>
      <c r="G15" s="298">
        <v>0</v>
      </c>
      <c r="H15" s="298">
        <v>0</v>
      </c>
      <c r="I15" s="298">
        <v>0</v>
      </c>
      <c r="J15" s="298">
        <v>1</v>
      </c>
      <c r="K15" s="298">
        <v>0</v>
      </c>
      <c r="L15" s="298">
        <v>0</v>
      </c>
      <c r="M15" s="298">
        <v>0</v>
      </c>
      <c r="N15" s="298">
        <v>0</v>
      </c>
      <c r="O15" s="298">
        <v>0</v>
      </c>
      <c r="P15" s="298">
        <v>0</v>
      </c>
      <c r="Q15" s="298">
        <f t="shared" si="2"/>
        <v>2</v>
      </c>
      <c r="R15" s="421">
        <f t="shared" si="5"/>
        <v>4.662004662004662E-3</v>
      </c>
      <c r="S15" s="451"/>
      <c r="T15" s="450"/>
      <c r="U15" s="301" t="s">
        <v>300</v>
      </c>
      <c r="V15" s="298"/>
      <c r="W15" s="298"/>
      <c r="X15" s="298"/>
      <c r="Y15" s="298"/>
      <c r="Z15" s="298"/>
      <c r="AA15" s="298"/>
      <c r="AB15" s="298"/>
      <c r="AC15" s="298"/>
      <c r="AD15" s="298"/>
      <c r="AE15" s="298">
        <v>2</v>
      </c>
      <c r="AF15" s="298"/>
      <c r="AG15" s="298"/>
      <c r="AH15" s="298">
        <f t="shared" si="0"/>
        <v>2</v>
      </c>
      <c r="AI15" s="421">
        <f t="shared" si="3"/>
        <v>1.1235955056179775E-2</v>
      </c>
      <c r="AL15" s="308" t="s">
        <v>261</v>
      </c>
      <c r="AM15" s="309" t="s">
        <v>135</v>
      </c>
      <c r="AN15" s="309" t="s">
        <v>284</v>
      </c>
      <c r="AO15" s="309" t="s">
        <v>285</v>
      </c>
      <c r="AP15" s="309" t="s">
        <v>185</v>
      </c>
      <c r="AQ15" s="309" t="s">
        <v>287</v>
      </c>
      <c r="AR15" s="309" t="s">
        <v>310</v>
      </c>
      <c r="AS15" s="309" t="s">
        <v>311</v>
      </c>
      <c r="AT15" s="309" t="s">
        <v>312</v>
      </c>
      <c r="AU15" s="309" t="s">
        <v>313</v>
      </c>
      <c r="AV15" s="309" t="s">
        <v>314</v>
      </c>
      <c r="AW15" s="309" t="s">
        <v>315</v>
      </c>
      <c r="AX15" s="309" t="s">
        <v>319</v>
      </c>
      <c r="AY15" s="309" t="s">
        <v>313</v>
      </c>
      <c r="AZ15" s="301"/>
    </row>
    <row r="16" spans="1:54" s="283" customFormat="1" ht="18.75" customHeight="1" x14ac:dyDescent="0.15">
      <c r="A16" s="418"/>
      <c r="B16" s="414"/>
      <c r="C16" s="414"/>
      <c r="D16" s="301" t="s">
        <v>256</v>
      </c>
      <c r="E16" s="298"/>
      <c r="F16" s="298"/>
      <c r="G16" s="298"/>
      <c r="H16" s="298"/>
      <c r="I16" s="298">
        <v>1</v>
      </c>
      <c r="J16" s="298"/>
      <c r="K16" s="298">
        <v>1</v>
      </c>
      <c r="L16" s="298"/>
      <c r="M16" s="298"/>
      <c r="N16" s="298"/>
      <c r="O16" s="298"/>
      <c r="P16" s="298"/>
      <c r="Q16" s="298">
        <f t="shared" si="2"/>
        <v>2</v>
      </c>
      <c r="R16" s="421">
        <f t="shared" si="5"/>
        <v>4.662004662004662E-3</v>
      </c>
      <c r="S16" s="451"/>
      <c r="T16" s="450"/>
      <c r="U16" s="299" t="s">
        <v>184</v>
      </c>
      <c r="V16" s="298">
        <v>0</v>
      </c>
      <c r="W16" s="298">
        <v>1</v>
      </c>
      <c r="X16" s="298">
        <v>0</v>
      </c>
      <c r="Y16" s="298">
        <v>0</v>
      </c>
      <c r="Z16" s="298">
        <v>0</v>
      </c>
      <c r="AA16" s="298">
        <v>0</v>
      </c>
      <c r="AB16" s="298">
        <v>0</v>
      </c>
      <c r="AC16" s="298">
        <v>0</v>
      </c>
      <c r="AD16" s="298">
        <v>0</v>
      </c>
      <c r="AE16" s="298">
        <v>0</v>
      </c>
      <c r="AF16" s="298">
        <v>0</v>
      </c>
      <c r="AG16" s="298">
        <v>0</v>
      </c>
      <c r="AH16" s="298">
        <f t="shared" si="0"/>
        <v>1</v>
      </c>
      <c r="AI16" s="421">
        <f t="shared" si="3"/>
        <v>5.6179775280898875E-3</v>
      </c>
      <c r="AL16" s="301" t="s">
        <v>263</v>
      </c>
      <c r="AM16" s="298">
        <f>COUNTIF(AM3:AM12,"&gt;0")</f>
        <v>3</v>
      </c>
      <c r="AN16" s="298">
        <f t="shared" ref="AN16:AY16" si="8">COUNTIF(AN3:AN12,"&gt;0")</f>
        <v>6</v>
      </c>
      <c r="AO16" s="298">
        <f t="shared" si="8"/>
        <v>4</v>
      </c>
      <c r="AP16" s="298">
        <f t="shared" si="8"/>
        <v>4</v>
      </c>
      <c r="AQ16" s="298">
        <f t="shared" si="8"/>
        <v>3</v>
      </c>
      <c r="AR16" s="298">
        <f t="shared" si="8"/>
        <v>5</v>
      </c>
      <c r="AS16" s="298">
        <f t="shared" si="8"/>
        <v>6</v>
      </c>
      <c r="AT16" s="298">
        <f t="shared" si="8"/>
        <v>4</v>
      </c>
      <c r="AU16" s="298">
        <f t="shared" si="8"/>
        <v>7</v>
      </c>
      <c r="AV16" s="298">
        <f t="shared" si="8"/>
        <v>7</v>
      </c>
      <c r="AW16" s="298">
        <f t="shared" si="8"/>
        <v>3</v>
      </c>
      <c r="AX16" s="298">
        <f t="shared" si="8"/>
        <v>5</v>
      </c>
      <c r="AY16" s="298">
        <f t="shared" si="8"/>
        <v>10</v>
      </c>
      <c r="AZ16" s="301"/>
    </row>
    <row r="17" spans="1:54" s="283" customFormat="1" ht="18.75" customHeight="1" x14ac:dyDescent="0.15">
      <c r="A17" s="418"/>
      <c r="B17" s="414"/>
      <c r="C17" s="414"/>
      <c r="D17" s="300" t="s">
        <v>289</v>
      </c>
      <c r="E17" s="298"/>
      <c r="F17" s="298"/>
      <c r="G17" s="298"/>
      <c r="H17" s="298"/>
      <c r="I17" s="298"/>
      <c r="J17" s="298"/>
      <c r="K17" s="298"/>
      <c r="L17" s="298"/>
      <c r="M17" s="298">
        <v>1</v>
      </c>
      <c r="N17" s="298"/>
      <c r="O17" s="298"/>
      <c r="P17" s="298">
        <v>1</v>
      </c>
      <c r="Q17" s="298">
        <f t="shared" si="2"/>
        <v>2</v>
      </c>
      <c r="R17" s="421">
        <f t="shared" si="5"/>
        <v>4.662004662004662E-3</v>
      </c>
      <c r="S17" s="451"/>
      <c r="T17" s="450"/>
      <c r="U17" s="299" t="s">
        <v>146</v>
      </c>
      <c r="V17" s="298">
        <v>0</v>
      </c>
      <c r="W17" s="298">
        <v>1</v>
      </c>
      <c r="X17" s="298">
        <v>0</v>
      </c>
      <c r="Y17" s="298">
        <v>0</v>
      </c>
      <c r="Z17" s="298">
        <v>0</v>
      </c>
      <c r="AA17" s="298">
        <v>0</v>
      </c>
      <c r="AB17" s="298">
        <v>0</v>
      </c>
      <c r="AC17" s="298">
        <v>0</v>
      </c>
      <c r="AD17" s="298">
        <v>0</v>
      </c>
      <c r="AE17" s="298">
        <v>0</v>
      </c>
      <c r="AF17" s="298">
        <v>0</v>
      </c>
      <c r="AG17" s="298">
        <v>0</v>
      </c>
      <c r="AH17" s="298">
        <f t="shared" si="0"/>
        <v>1</v>
      </c>
      <c r="AI17" s="421">
        <f t="shared" si="3"/>
        <v>5.6179775280898875E-3</v>
      </c>
      <c r="AL17" s="310"/>
      <c r="AM17" s="311"/>
      <c r="AN17" s="311"/>
      <c r="AO17" s="311"/>
      <c r="AP17" s="311"/>
      <c r="AQ17" s="311"/>
      <c r="AR17" s="311"/>
      <c r="AS17" s="311"/>
      <c r="AT17" s="311"/>
      <c r="AU17" s="311"/>
      <c r="AV17" s="311"/>
      <c r="AW17" s="311"/>
      <c r="AX17" s="311"/>
      <c r="AY17" s="311"/>
      <c r="AZ17" s="312"/>
    </row>
    <row r="18" spans="1:54" s="283" customFormat="1" ht="18.75" customHeight="1" x14ac:dyDescent="0.15">
      <c r="A18" s="418"/>
      <c r="B18" s="414"/>
      <c r="C18" s="414"/>
      <c r="D18" s="300" t="s">
        <v>290</v>
      </c>
      <c r="E18" s="298"/>
      <c r="F18" s="298"/>
      <c r="G18" s="298"/>
      <c r="H18" s="298"/>
      <c r="I18" s="298"/>
      <c r="J18" s="298"/>
      <c r="K18" s="298"/>
      <c r="L18" s="298"/>
      <c r="M18" s="298"/>
      <c r="N18" s="298">
        <v>1</v>
      </c>
      <c r="O18" s="298"/>
      <c r="P18" s="298"/>
      <c r="Q18" s="298">
        <f t="shared" si="2"/>
        <v>1</v>
      </c>
      <c r="R18" s="421">
        <f t="shared" si="5"/>
        <v>2.331002331002331E-3</v>
      </c>
      <c r="S18" s="451"/>
      <c r="T18" s="450"/>
      <c r="U18" s="299" t="s">
        <v>278</v>
      </c>
      <c r="V18" s="298">
        <v>1</v>
      </c>
      <c r="W18" s="298">
        <v>0</v>
      </c>
      <c r="X18" s="298">
        <v>0</v>
      </c>
      <c r="Y18" s="298">
        <v>0</v>
      </c>
      <c r="Z18" s="298">
        <v>0</v>
      </c>
      <c r="AA18" s="298">
        <v>0</v>
      </c>
      <c r="AB18" s="298">
        <v>0</v>
      </c>
      <c r="AC18" s="298">
        <v>0</v>
      </c>
      <c r="AD18" s="298">
        <v>0</v>
      </c>
      <c r="AE18" s="298">
        <v>0</v>
      </c>
      <c r="AF18" s="298">
        <v>0</v>
      </c>
      <c r="AG18" s="298">
        <v>0</v>
      </c>
      <c r="AH18" s="298">
        <f t="shared" si="0"/>
        <v>1</v>
      </c>
      <c r="AI18" s="421">
        <f t="shared" si="3"/>
        <v>5.6179775280898875E-3</v>
      </c>
      <c r="AL18" s="313" t="s">
        <v>264</v>
      </c>
      <c r="AM18" s="314">
        <v>7</v>
      </c>
      <c r="AN18" s="314">
        <v>7</v>
      </c>
      <c r="AO18" s="314">
        <v>7</v>
      </c>
      <c r="AP18" s="314">
        <v>3</v>
      </c>
      <c r="AQ18" s="314">
        <v>14</v>
      </c>
      <c r="AR18" s="314">
        <v>11</v>
      </c>
      <c r="AS18" s="314">
        <v>3</v>
      </c>
      <c r="AT18" s="314">
        <v>7</v>
      </c>
      <c r="AU18" s="314">
        <v>21</v>
      </c>
      <c r="AV18" s="314">
        <v>14</v>
      </c>
      <c r="AW18" s="314">
        <v>5</v>
      </c>
      <c r="AX18" s="314">
        <v>9</v>
      </c>
      <c r="AY18" s="298">
        <f>SUM(AM18:AX18)</f>
        <v>108</v>
      </c>
      <c r="AZ18" s="421">
        <f>AY18/AY$13</f>
        <v>0.24107142857142858</v>
      </c>
      <c r="BB18" s="408"/>
    </row>
    <row r="19" spans="1:54" s="283" customFormat="1" ht="18.75" customHeight="1" x14ac:dyDescent="0.15">
      <c r="A19" s="418"/>
      <c r="B19" s="414"/>
      <c r="C19" s="414"/>
      <c r="D19" s="300" t="s">
        <v>291</v>
      </c>
      <c r="E19" s="298"/>
      <c r="F19" s="298"/>
      <c r="G19" s="298"/>
      <c r="H19" s="298"/>
      <c r="I19" s="298"/>
      <c r="J19" s="298"/>
      <c r="K19" s="298"/>
      <c r="L19" s="298"/>
      <c r="M19" s="298">
        <v>1</v>
      </c>
      <c r="N19" s="298"/>
      <c r="O19" s="298"/>
      <c r="P19" s="298"/>
      <c r="Q19" s="298">
        <f t="shared" si="2"/>
        <v>1</v>
      </c>
      <c r="R19" s="421">
        <f t="shared" si="5"/>
        <v>2.331002331002331E-3</v>
      </c>
      <c r="S19" s="451"/>
      <c r="T19" s="450"/>
      <c r="U19" s="301" t="s">
        <v>299</v>
      </c>
      <c r="V19" s="298"/>
      <c r="W19" s="298"/>
      <c r="X19" s="298"/>
      <c r="Y19" s="298"/>
      <c r="Z19" s="298"/>
      <c r="AA19" s="298">
        <v>1</v>
      </c>
      <c r="AB19" s="298"/>
      <c r="AC19" s="298"/>
      <c r="AD19" s="298"/>
      <c r="AE19" s="298"/>
      <c r="AF19" s="298"/>
      <c r="AG19" s="298"/>
      <c r="AH19" s="298">
        <f t="shared" si="0"/>
        <v>1</v>
      </c>
      <c r="AI19" s="421">
        <f t="shared" si="3"/>
        <v>5.6179775280898875E-3</v>
      </c>
      <c r="AL19" s="301" t="s">
        <v>265</v>
      </c>
      <c r="AM19" s="314">
        <v>1</v>
      </c>
      <c r="AN19" s="314">
        <v>2</v>
      </c>
      <c r="AO19" s="314">
        <v>2</v>
      </c>
      <c r="AP19" s="314">
        <v>8</v>
      </c>
      <c r="AQ19" s="314">
        <v>3</v>
      </c>
      <c r="AR19" s="314">
        <v>2</v>
      </c>
      <c r="AS19" s="314">
        <v>2</v>
      </c>
      <c r="AT19" s="314">
        <v>1</v>
      </c>
      <c r="AU19" s="314">
        <v>3</v>
      </c>
      <c r="AV19" s="314">
        <v>2</v>
      </c>
      <c r="AW19" s="314">
        <v>2</v>
      </c>
      <c r="AX19" s="314">
        <v>0</v>
      </c>
      <c r="AY19" s="298">
        <f t="shared" ref="AY19:AY21" si="9">SUM(AM19:AX19)</f>
        <v>28</v>
      </c>
      <c r="AZ19" s="421">
        <v>6.2E-2</v>
      </c>
      <c r="BB19" s="408"/>
    </row>
    <row r="20" spans="1:54" s="283" customFormat="1" ht="18.75" customHeight="1" x14ac:dyDescent="0.15">
      <c r="A20" s="418"/>
      <c r="B20" s="414"/>
      <c r="C20" s="414"/>
      <c r="D20" s="300" t="s">
        <v>288</v>
      </c>
      <c r="E20" s="298"/>
      <c r="F20" s="298"/>
      <c r="G20" s="298"/>
      <c r="H20" s="298"/>
      <c r="I20" s="298"/>
      <c r="J20" s="298"/>
      <c r="K20" s="298"/>
      <c r="L20" s="298"/>
      <c r="M20" s="298">
        <v>1</v>
      </c>
      <c r="N20" s="298"/>
      <c r="O20" s="298"/>
      <c r="P20" s="298"/>
      <c r="Q20" s="298">
        <f t="shared" si="2"/>
        <v>1</v>
      </c>
      <c r="R20" s="421">
        <f t="shared" si="5"/>
        <v>2.331002331002331E-3</v>
      </c>
      <c r="S20" s="451"/>
      <c r="T20" s="450"/>
      <c r="U20" s="299" t="s">
        <v>301</v>
      </c>
      <c r="V20" s="298"/>
      <c r="W20" s="298"/>
      <c r="X20" s="298"/>
      <c r="Y20" s="298"/>
      <c r="Z20" s="298"/>
      <c r="AA20" s="298"/>
      <c r="AB20" s="298"/>
      <c r="AC20" s="298">
        <v>1</v>
      </c>
      <c r="AD20" s="298"/>
      <c r="AE20" s="298"/>
      <c r="AF20" s="298"/>
      <c r="AG20" s="298"/>
      <c r="AH20" s="298">
        <f t="shared" ref="AH20:AH21" si="10">SUM(V20:AG20)</f>
        <v>1</v>
      </c>
      <c r="AI20" s="421">
        <f t="shared" si="3"/>
        <v>5.6179775280898875E-3</v>
      </c>
      <c r="AL20" s="301" t="s">
        <v>266</v>
      </c>
      <c r="AM20" s="314">
        <v>15</v>
      </c>
      <c r="AN20" s="314">
        <v>18</v>
      </c>
      <c r="AO20" s="314">
        <v>17</v>
      </c>
      <c r="AP20" s="314">
        <v>19</v>
      </c>
      <c r="AQ20" s="314">
        <v>17</v>
      </c>
      <c r="AR20" s="314">
        <v>20</v>
      </c>
      <c r="AS20" s="314">
        <v>23</v>
      </c>
      <c r="AT20" s="314">
        <v>16</v>
      </c>
      <c r="AU20" s="314">
        <v>21</v>
      </c>
      <c r="AV20" s="314">
        <v>28</v>
      </c>
      <c r="AW20" s="314">
        <v>13</v>
      </c>
      <c r="AX20" s="314">
        <v>25</v>
      </c>
      <c r="AY20" s="298">
        <f t="shared" si="9"/>
        <v>232</v>
      </c>
      <c r="AZ20" s="421">
        <f t="shared" ref="AZ20:AZ21" si="11">AY20/AY$13</f>
        <v>0.5178571428571429</v>
      </c>
      <c r="BB20" s="408"/>
    </row>
    <row r="21" spans="1:54" s="283" customFormat="1" ht="18.75" customHeight="1" thickBot="1" x14ac:dyDescent="0.2">
      <c r="A21" s="418"/>
      <c r="B21" s="414"/>
      <c r="C21" s="414"/>
      <c r="D21" s="300" t="s">
        <v>258</v>
      </c>
      <c r="E21" s="298">
        <v>1</v>
      </c>
      <c r="F21" s="298">
        <v>0</v>
      </c>
      <c r="G21" s="298">
        <v>0</v>
      </c>
      <c r="H21" s="298">
        <v>0</v>
      </c>
      <c r="I21" s="298">
        <v>0</v>
      </c>
      <c r="J21" s="298">
        <v>0</v>
      </c>
      <c r="K21" s="298">
        <v>0</v>
      </c>
      <c r="L21" s="298">
        <v>0</v>
      </c>
      <c r="M21" s="298">
        <v>0</v>
      </c>
      <c r="N21" s="298">
        <v>0</v>
      </c>
      <c r="O21" s="298">
        <v>0</v>
      </c>
      <c r="P21" s="298">
        <v>0</v>
      </c>
      <c r="Q21" s="298">
        <f t="shared" si="2"/>
        <v>1</v>
      </c>
      <c r="R21" s="421">
        <f t="shared" si="5"/>
        <v>2.331002331002331E-3</v>
      </c>
      <c r="S21" s="451"/>
      <c r="T21" s="450"/>
      <c r="U21" s="452" t="s">
        <v>256</v>
      </c>
      <c r="V21" s="453"/>
      <c r="W21" s="453"/>
      <c r="X21" s="453"/>
      <c r="Y21" s="453"/>
      <c r="Z21" s="453"/>
      <c r="AA21" s="453"/>
      <c r="AB21" s="453"/>
      <c r="AC21" s="453"/>
      <c r="AD21" s="453">
        <v>1</v>
      </c>
      <c r="AE21" s="453"/>
      <c r="AF21" s="453"/>
      <c r="AG21" s="453"/>
      <c r="AH21" s="407">
        <f t="shared" si="10"/>
        <v>1</v>
      </c>
      <c r="AI21" s="454">
        <f t="shared" ref="AI21" si="12">+AH21/AH$22</f>
        <v>5.6179775280898875E-3</v>
      </c>
      <c r="AL21" s="301" t="s">
        <v>267</v>
      </c>
      <c r="AM21" s="314">
        <v>5</v>
      </c>
      <c r="AN21" s="314">
        <v>6</v>
      </c>
      <c r="AO21" s="314">
        <v>2</v>
      </c>
      <c r="AP21" s="314">
        <v>7</v>
      </c>
      <c r="AQ21" s="314">
        <v>10</v>
      </c>
      <c r="AR21" s="314">
        <v>7</v>
      </c>
      <c r="AS21" s="314">
        <v>4</v>
      </c>
      <c r="AT21" s="314">
        <v>11</v>
      </c>
      <c r="AU21" s="314">
        <v>7</v>
      </c>
      <c r="AV21" s="314">
        <v>7</v>
      </c>
      <c r="AW21" s="314">
        <v>4</v>
      </c>
      <c r="AX21" s="314">
        <v>10</v>
      </c>
      <c r="AY21" s="298">
        <f t="shared" si="9"/>
        <v>80</v>
      </c>
      <c r="AZ21" s="421">
        <f t="shared" si="11"/>
        <v>0.17857142857142858</v>
      </c>
      <c r="BB21" s="408"/>
    </row>
    <row r="22" spans="1:54" s="283" customFormat="1" ht="18.75" customHeight="1" thickBot="1" x14ac:dyDescent="0.2">
      <c r="A22" s="418"/>
      <c r="B22" s="414"/>
      <c r="C22" s="414"/>
      <c r="D22" s="302" t="s">
        <v>68</v>
      </c>
      <c r="E22" s="315">
        <f>SUM(E3:E21)</f>
        <v>32</v>
      </c>
      <c r="F22" s="315">
        <f t="shared" ref="F22:Q22" si="13">SUM(F3:F21)</f>
        <v>46</v>
      </c>
      <c r="G22" s="315">
        <f t="shared" si="13"/>
        <v>16</v>
      </c>
      <c r="H22" s="315">
        <f t="shared" si="13"/>
        <v>30</v>
      </c>
      <c r="I22" s="315">
        <f t="shared" si="13"/>
        <v>48</v>
      </c>
      <c r="J22" s="315">
        <f t="shared" si="13"/>
        <v>43</v>
      </c>
      <c r="K22" s="315">
        <f t="shared" si="13"/>
        <v>43</v>
      </c>
      <c r="L22" s="315">
        <f t="shared" si="13"/>
        <v>30</v>
      </c>
      <c r="M22" s="315">
        <f t="shared" si="13"/>
        <v>34</v>
      </c>
      <c r="N22" s="315">
        <f t="shared" si="13"/>
        <v>42</v>
      </c>
      <c r="O22" s="315">
        <f t="shared" si="13"/>
        <v>28</v>
      </c>
      <c r="P22" s="315">
        <f t="shared" si="13"/>
        <v>37</v>
      </c>
      <c r="Q22" s="315">
        <f t="shared" si="13"/>
        <v>429</v>
      </c>
      <c r="R22" s="304">
        <v>0.99999999999999989</v>
      </c>
      <c r="U22" s="302" t="s">
        <v>279</v>
      </c>
      <c r="V22" s="315">
        <f>SUM(V3:V21)</f>
        <v>14</v>
      </c>
      <c r="W22" s="315">
        <f t="shared" ref="W22:AH22" si="14">SUM(W3:W21)</f>
        <v>21</v>
      </c>
      <c r="X22" s="315">
        <f t="shared" si="14"/>
        <v>16</v>
      </c>
      <c r="Y22" s="315">
        <f t="shared" si="14"/>
        <v>11</v>
      </c>
      <c r="Z22" s="315">
        <f t="shared" si="14"/>
        <v>13</v>
      </c>
      <c r="AA22" s="315">
        <f t="shared" si="14"/>
        <v>19</v>
      </c>
      <c r="AB22" s="315">
        <f t="shared" si="14"/>
        <v>7</v>
      </c>
      <c r="AC22" s="315">
        <f t="shared" si="14"/>
        <v>15</v>
      </c>
      <c r="AD22" s="315">
        <f t="shared" si="14"/>
        <v>29</v>
      </c>
      <c r="AE22" s="315">
        <f t="shared" si="14"/>
        <v>14</v>
      </c>
      <c r="AF22" s="315">
        <f t="shared" si="14"/>
        <v>6</v>
      </c>
      <c r="AG22" s="315">
        <f t="shared" si="14"/>
        <v>13</v>
      </c>
      <c r="AH22" s="315">
        <f t="shared" si="14"/>
        <v>178</v>
      </c>
      <c r="AI22" s="287">
        <v>0.99999999999999989</v>
      </c>
      <c r="AL22" s="310"/>
      <c r="AM22" s="316"/>
      <c r="AN22" s="316"/>
      <c r="AO22" s="316"/>
      <c r="AP22" s="316"/>
      <c r="AQ22" s="316"/>
      <c r="AR22" s="316"/>
      <c r="AS22" s="311"/>
      <c r="AT22" s="311"/>
      <c r="AU22" s="311"/>
      <c r="AV22" s="311"/>
      <c r="AW22" s="311"/>
      <c r="AX22" s="311"/>
      <c r="AY22" s="311"/>
      <c r="AZ22" s="312"/>
    </row>
    <row r="23" spans="1:54" s="283" customFormat="1" ht="18.75" customHeight="1" x14ac:dyDescent="0.15">
      <c r="A23" s="418"/>
      <c r="B23" s="414"/>
      <c r="C23" s="414"/>
      <c r="D23" s="305" t="s">
        <v>260</v>
      </c>
      <c r="E23" s="306">
        <v>1.3125</v>
      </c>
      <c r="F23" s="306">
        <v>1.3695652173913044</v>
      </c>
      <c r="G23" s="306">
        <v>1.25</v>
      </c>
      <c r="H23" s="306">
        <v>1.6666666666666667</v>
      </c>
      <c r="I23" s="306">
        <v>1.8</v>
      </c>
      <c r="J23" s="306">
        <v>1.4</v>
      </c>
      <c r="K23" s="306">
        <v>1.5</v>
      </c>
      <c r="L23" s="306">
        <v>1.3</v>
      </c>
      <c r="M23" s="306">
        <v>1.7</v>
      </c>
      <c r="N23" s="306">
        <v>1.6</v>
      </c>
      <c r="O23" s="306">
        <v>1.5</v>
      </c>
      <c r="P23" s="306">
        <v>1.3</v>
      </c>
      <c r="Q23" s="307">
        <v>1.5</v>
      </c>
      <c r="R23" s="307"/>
      <c r="U23" s="305" t="s">
        <v>260</v>
      </c>
      <c r="V23" s="306">
        <v>1.8571428571428572</v>
      </c>
      <c r="W23" s="306">
        <v>2.7619047619047619</v>
      </c>
      <c r="X23" s="306">
        <v>1.3125</v>
      </c>
      <c r="Y23" s="306">
        <v>2</v>
      </c>
      <c r="Z23" s="306">
        <v>1.8</v>
      </c>
      <c r="AA23" s="306">
        <v>1.7</v>
      </c>
      <c r="AB23" s="306">
        <v>1.4</v>
      </c>
      <c r="AC23" s="306">
        <v>1.5</v>
      </c>
      <c r="AD23" s="306">
        <v>1.7</v>
      </c>
      <c r="AE23" s="306">
        <v>2.2000000000000002</v>
      </c>
      <c r="AF23" s="306">
        <v>1.2</v>
      </c>
      <c r="AG23" s="306">
        <v>1.6</v>
      </c>
      <c r="AH23" s="307">
        <v>1.8</v>
      </c>
      <c r="AI23" s="313"/>
      <c r="AL23" s="317" t="s">
        <v>286</v>
      </c>
      <c r="AM23" s="298">
        <f>+AM13</f>
        <v>28</v>
      </c>
      <c r="AN23" s="298">
        <f t="shared" ref="AN23:AW23" si="15">+AN13</f>
        <v>33</v>
      </c>
      <c r="AO23" s="298">
        <f t="shared" si="15"/>
        <v>28</v>
      </c>
      <c r="AP23" s="298">
        <f t="shared" si="15"/>
        <v>37</v>
      </c>
      <c r="AQ23" s="298">
        <f t="shared" si="15"/>
        <v>44</v>
      </c>
      <c r="AR23" s="298">
        <f t="shared" si="15"/>
        <v>40</v>
      </c>
      <c r="AS23" s="298">
        <f t="shared" si="15"/>
        <v>32</v>
      </c>
      <c r="AT23" s="298">
        <f t="shared" si="15"/>
        <v>35</v>
      </c>
      <c r="AU23" s="298">
        <f t="shared" si="15"/>
        <v>52</v>
      </c>
      <c r="AV23" s="298">
        <f t="shared" si="15"/>
        <v>51</v>
      </c>
      <c r="AW23" s="298">
        <f t="shared" si="15"/>
        <v>24</v>
      </c>
      <c r="AX23" s="298">
        <v>44</v>
      </c>
      <c r="AY23" s="298">
        <f>SUM(AM23:AX23)</f>
        <v>448</v>
      </c>
      <c r="AZ23" s="292">
        <v>1</v>
      </c>
    </row>
    <row r="24" spans="1:54" s="283" customFormat="1" ht="18.75" customHeight="1" x14ac:dyDescent="0.15">
      <c r="A24" s="418"/>
      <c r="B24" s="414"/>
      <c r="C24" s="414"/>
      <c r="D24" s="308" t="s">
        <v>261</v>
      </c>
      <c r="E24" s="319" t="s">
        <v>262</v>
      </c>
      <c r="F24" s="319" t="s">
        <v>213</v>
      </c>
      <c r="G24" s="319" t="s">
        <v>220</v>
      </c>
      <c r="H24" s="319" t="s">
        <v>230</v>
      </c>
      <c r="I24" s="319" t="s">
        <v>277</v>
      </c>
      <c r="J24" s="319" t="s">
        <v>292</v>
      </c>
      <c r="K24" s="319" t="s">
        <v>293</v>
      </c>
      <c r="L24" s="319" t="s">
        <v>294</v>
      </c>
      <c r="M24" s="319" t="s">
        <v>295</v>
      </c>
      <c r="N24" s="319" t="s">
        <v>296</v>
      </c>
      <c r="O24" s="319" t="s">
        <v>297</v>
      </c>
      <c r="P24" s="319" t="s">
        <v>316</v>
      </c>
      <c r="Q24" s="319" t="s">
        <v>298</v>
      </c>
      <c r="R24" s="301"/>
      <c r="U24" s="308" t="s">
        <v>261</v>
      </c>
      <c r="V24" s="309" t="s">
        <v>280</v>
      </c>
      <c r="W24" s="309" t="s">
        <v>281</v>
      </c>
      <c r="X24" s="309" t="s">
        <v>282</v>
      </c>
      <c r="Y24" s="309" t="s">
        <v>283</v>
      </c>
      <c r="Z24" s="309" t="s">
        <v>212</v>
      </c>
      <c r="AA24" s="309" t="s">
        <v>302</v>
      </c>
      <c r="AB24" s="309" t="s">
        <v>303</v>
      </c>
      <c r="AC24" s="309" t="s">
        <v>304</v>
      </c>
      <c r="AD24" s="309" t="s">
        <v>305</v>
      </c>
      <c r="AE24" s="309" t="s">
        <v>306</v>
      </c>
      <c r="AF24" s="309" t="s">
        <v>307</v>
      </c>
      <c r="AG24" s="309" t="s">
        <v>317</v>
      </c>
      <c r="AH24" s="309" t="s">
        <v>318</v>
      </c>
      <c r="AI24" s="318"/>
      <c r="AM24" s="293"/>
      <c r="AN24" s="293"/>
      <c r="AO24" s="293"/>
      <c r="AP24" s="293"/>
      <c r="AQ24" s="293"/>
      <c r="AR24" s="293"/>
      <c r="AS24" s="293"/>
      <c r="AT24" s="293"/>
      <c r="AU24" s="293"/>
      <c r="AV24" s="293"/>
      <c r="AW24" s="293"/>
      <c r="AX24" s="293"/>
      <c r="AY24" s="293"/>
    </row>
    <row r="25" spans="1:54" s="283" customFormat="1" ht="18.75" customHeight="1" x14ac:dyDescent="0.15">
      <c r="A25" s="418"/>
      <c r="B25" s="414"/>
      <c r="C25" s="414"/>
      <c r="D25" s="301" t="s">
        <v>263</v>
      </c>
      <c r="E25" s="298">
        <f>COUNTIF(E3:E21,"&gt;0")</f>
        <v>8</v>
      </c>
      <c r="F25" s="298">
        <f>COUNTIF(F3:F21,"&gt;0")</f>
        <v>11</v>
      </c>
      <c r="G25" s="298">
        <f t="shared" ref="G25:Q25" si="16">COUNTIF(G3:G21,"&gt;0")</f>
        <v>7</v>
      </c>
      <c r="H25" s="298">
        <f t="shared" si="16"/>
        <v>10</v>
      </c>
      <c r="I25" s="298">
        <f t="shared" si="16"/>
        <v>9</v>
      </c>
      <c r="J25" s="298">
        <f t="shared" si="16"/>
        <v>12</v>
      </c>
      <c r="K25" s="298">
        <f t="shared" si="16"/>
        <v>6</v>
      </c>
      <c r="L25" s="298">
        <f t="shared" si="16"/>
        <v>9</v>
      </c>
      <c r="M25" s="298">
        <f t="shared" si="16"/>
        <v>11</v>
      </c>
      <c r="N25" s="298">
        <f t="shared" si="16"/>
        <v>9</v>
      </c>
      <c r="O25" s="298">
        <f t="shared" si="16"/>
        <v>7</v>
      </c>
      <c r="P25" s="298">
        <f t="shared" si="16"/>
        <v>10</v>
      </c>
      <c r="Q25" s="298">
        <f t="shared" si="16"/>
        <v>19</v>
      </c>
      <c r="R25" s="301"/>
      <c r="U25" s="301" t="s">
        <v>263</v>
      </c>
      <c r="V25" s="298">
        <f t="shared" ref="V25:AH25" si="17">COUNTIF(V3:V21,"&gt;0")</f>
        <v>7</v>
      </c>
      <c r="W25" s="298">
        <f t="shared" si="17"/>
        <v>10</v>
      </c>
      <c r="X25" s="298">
        <f t="shared" si="17"/>
        <v>6</v>
      </c>
      <c r="Y25" s="298">
        <f t="shared" si="17"/>
        <v>6</v>
      </c>
      <c r="Z25" s="298">
        <f t="shared" si="17"/>
        <v>7</v>
      </c>
      <c r="AA25" s="298">
        <f>COUNTIF(AA3:AA21,"&gt;0")</f>
        <v>10</v>
      </c>
      <c r="AB25" s="298">
        <f t="shared" si="17"/>
        <v>3</v>
      </c>
      <c r="AC25" s="298">
        <f t="shared" si="17"/>
        <v>10</v>
      </c>
      <c r="AD25" s="298">
        <f t="shared" si="17"/>
        <v>8</v>
      </c>
      <c r="AE25" s="298">
        <f t="shared" si="17"/>
        <v>8</v>
      </c>
      <c r="AF25" s="298">
        <f t="shared" si="17"/>
        <v>3</v>
      </c>
      <c r="AG25" s="298">
        <f t="shared" si="17"/>
        <v>7</v>
      </c>
      <c r="AH25" s="298">
        <f t="shared" si="17"/>
        <v>19</v>
      </c>
      <c r="AI25" s="301"/>
      <c r="AL25" s="301" t="s">
        <v>274</v>
      </c>
      <c r="AM25" s="298">
        <f>SUM(AM26:AM29)</f>
        <v>20</v>
      </c>
      <c r="AN25" s="298">
        <f t="shared" ref="AN25:AX25" si="18">SUM(AN26:AN29)</f>
        <v>30</v>
      </c>
      <c r="AO25" s="298">
        <f t="shared" si="18"/>
        <v>15</v>
      </c>
      <c r="AP25" s="298">
        <f t="shared" si="18"/>
        <v>19</v>
      </c>
      <c r="AQ25" s="298">
        <f t="shared" si="18"/>
        <v>21</v>
      </c>
      <c r="AR25" s="298">
        <f t="shared" si="18"/>
        <v>9</v>
      </c>
      <c r="AS25" s="298">
        <f t="shared" si="18"/>
        <v>8</v>
      </c>
      <c r="AT25" s="298">
        <f t="shared" si="18"/>
        <v>15</v>
      </c>
      <c r="AU25" s="298">
        <f t="shared" si="18"/>
        <v>16</v>
      </c>
      <c r="AV25" s="298">
        <f t="shared" si="18"/>
        <v>9</v>
      </c>
      <c r="AW25" s="298">
        <f t="shared" si="18"/>
        <v>6</v>
      </c>
      <c r="AX25" s="298">
        <f t="shared" si="18"/>
        <v>14</v>
      </c>
      <c r="AY25" s="298">
        <f>SUM(AY26:AY29)</f>
        <v>182</v>
      </c>
      <c r="AZ25" s="288">
        <v>1</v>
      </c>
    </row>
    <row r="26" spans="1:54" s="283" customFormat="1" ht="18.75" customHeight="1" x14ac:dyDescent="0.15">
      <c r="A26" s="418"/>
      <c r="B26" s="414"/>
      <c r="C26" s="414"/>
      <c r="D26" s="310"/>
      <c r="E26" s="311"/>
      <c r="F26" s="311"/>
      <c r="G26" s="311"/>
      <c r="H26" s="311"/>
      <c r="I26" s="311"/>
      <c r="J26" s="311"/>
      <c r="K26" s="311"/>
      <c r="L26" s="311"/>
      <c r="M26" s="311"/>
      <c r="N26" s="311"/>
      <c r="O26" s="311"/>
      <c r="P26" s="311"/>
      <c r="Q26" s="311"/>
      <c r="R26" s="312"/>
      <c r="U26" s="310"/>
      <c r="V26" s="311"/>
      <c r="W26" s="311"/>
      <c r="X26" s="311"/>
      <c r="Y26" s="311"/>
      <c r="Z26" s="311"/>
      <c r="AA26" s="311"/>
      <c r="AB26" s="311"/>
      <c r="AC26" s="311"/>
      <c r="AD26" s="311"/>
      <c r="AE26" s="311"/>
      <c r="AF26" s="311"/>
      <c r="AG26" s="311"/>
      <c r="AH26" s="311"/>
      <c r="AI26" s="312"/>
      <c r="AL26" s="321" t="s">
        <v>275</v>
      </c>
      <c r="AM26" s="298">
        <v>2</v>
      </c>
      <c r="AN26" s="298">
        <v>1</v>
      </c>
      <c r="AO26" s="298">
        <v>0</v>
      </c>
      <c r="AP26" s="298">
        <v>0</v>
      </c>
      <c r="AQ26" s="298">
        <v>1</v>
      </c>
      <c r="AR26" s="298">
        <v>0</v>
      </c>
      <c r="AS26" s="298">
        <v>0</v>
      </c>
      <c r="AT26" s="298">
        <v>2</v>
      </c>
      <c r="AU26" s="298">
        <v>2</v>
      </c>
      <c r="AV26" s="298">
        <v>0</v>
      </c>
      <c r="AW26" s="298">
        <v>0</v>
      </c>
      <c r="AX26" s="298">
        <v>0</v>
      </c>
      <c r="AY26" s="298">
        <f>SUM(AM26:AX26)</f>
        <v>8</v>
      </c>
      <c r="AZ26" s="421">
        <f>+AY26/AY$25</f>
        <v>4.3956043956043959E-2</v>
      </c>
      <c r="BB26" s="418"/>
    </row>
    <row r="27" spans="1:54" s="283" customFormat="1" ht="18.75" customHeight="1" x14ac:dyDescent="0.15">
      <c r="A27" s="418"/>
      <c r="B27" s="414"/>
      <c r="C27" s="414"/>
      <c r="D27" s="313" t="s">
        <v>264</v>
      </c>
      <c r="E27" s="314">
        <v>9</v>
      </c>
      <c r="F27" s="314">
        <v>20</v>
      </c>
      <c r="G27" s="314">
        <v>8</v>
      </c>
      <c r="H27" s="314">
        <v>9</v>
      </c>
      <c r="I27" s="314">
        <v>20</v>
      </c>
      <c r="J27" s="314">
        <v>18</v>
      </c>
      <c r="K27" s="314">
        <v>16</v>
      </c>
      <c r="L27" s="314">
        <v>12</v>
      </c>
      <c r="M27" s="314">
        <v>17</v>
      </c>
      <c r="N27" s="314">
        <v>20</v>
      </c>
      <c r="O27" s="314">
        <v>11</v>
      </c>
      <c r="P27" s="314">
        <v>13</v>
      </c>
      <c r="Q27" s="314">
        <f>SUM(E27:P27)</f>
        <v>173</v>
      </c>
      <c r="R27" s="421">
        <f t="shared" ref="R27:R36" si="19">+Q27/Q$22</f>
        <v>0.40326340326340326</v>
      </c>
      <c r="U27" s="313" t="s">
        <v>264</v>
      </c>
      <c r="V27" s="314">
        <v>2</v>
      </c>
      <c r="W27" s="314">
        <v>6</v>
      </c>
      <c r="X27" s="314">
        <v>4</v>
      </c>
      <c r="Y27" s="314">
        <v>1</v>
      </c>
      <c r="Z27" s="314">
        <v>1</v>
      </c>
      <c r="AA27" s="314">
        <v>6</v>
      </c>
      <c r="AB27" s="314">
        <v>1</v>
      </c>
      <c r="AC27" s="314">
        <v>4</v>
      </c>
      <c r="AD27" s="314">
        <v>11</v>
      </c>
      <c r="AE27" s="314">
        <v>7</v>
      </c>
      <c r="AF27" s="314">
        <v>1</v>
      </c>
      <c r="AG27" s="314">
        <v>3</v>
      </c>
      <c r="AH27" s="314">
        <f>SUM(V27:AG27)</f>
        <v>47</v>
      </c>
      <c r="AI27" s="421">
        <f>+AH27/AH$22</f>
        <v>0.2640449438202247</v>
      </c>
      <c r="AL27" s="321" t="s">
        <v>276</v>
      </c>
      <c r="AM27" s="298">
        <v>0</v>
      </c>
      <c r="AN27" s="298">
        <v>0</v>
      </c>
      <c r="AO27" s="298">
        <v>0</v>
      </c>
      <c r="AP27" s="298">
        <v>1</v>
      </c>
      <c r="AQ27" s="298">
        <v>0</v>
      </c>
      <c r="AR27" s="298">
        <v>0</v>
      </c>
      <c r="AS27" s="298">
        <v>0</v>
      </c>
      <c r="AT27" s="298">
        <v>0</v>
      </c>
      <c r="AU27" s="298">
        <v>0</v>
      </c>
      <c r="AV27" s="298">
        <v>0</v>
      </c>
      <c r="AW27" s="298">
        <v>0</v>
      </c>
      <c r="AX27" s="298">
        <v>1</v>
      </c>
      <c r="AY27" s="298">
        <f t="shared" ref="AY27:AY29" si="20">SUM(AM27:AX27)</f>
        <v>2</v>
      </c>
      <c r="AZ27" s="421">
        <v>0.01</v>
      </c>
      <c r="BB27" s="418"/>
    </row>
    <row r="28" spans="1:54" s="283" customFormat="1" ht="18.75" customHeight="1" x14ac:dyDescent="0.15">
      <c r="A28" s="418"/>
      <c r="B28" s="414"/>
      <c r="C28" s="414"/>
      <c r="D28" s="301" t="s">
        <v>265</v>
      </c>
      <c r="E28" s="314">
        <v>1</v>
      </c>
      <c r="F28" s="314">
        <v>2</v>
      </c>
      <c r="G28" s="314">
        <v>0</v>
      </c>
      <c r="H28" s="314">
        <v>2</v>
      </c>
      <c r="I28" s="314">
        <v>1</v>
      </c>
      <c r="J28" s="314">
        <v>3</v>
      </c>
      <c r="K28" s="314">
        <v>1</v>
      </c>
      <c r="L28" s="314">
        <v>2</v>
      </c>
      <c r="M28" s="314">
        <v>2</v>
      </c>
      <c r="N28" s="314">
        <v>3</v>
      </c>
      <c r="O28" s="314">
        <v>3</v>
      </c>
      <c r="P28" s="314">
        <v>2</v>
      </c>
      <c r="Q28" s="314">
        <f t="shared" ref="Q28:Q43" si="21">SUM(E28:P28)</f>
        <v>22</v>
      </c>
      <c r="R28" s="421">
        <f t="shared" si="19"/>
        <v>5.128205128205128E-2</v>
      </c>
      <c r="U28" s="301" t="s">
        <v>265</v>
      </c>
      <c r="V28" s="314">
        <v>1</v>
      </c>
      <c r="W28" s="314">
        <v>1</v>
      </c>
      <c r="X28" s="314">
        <v>0</v>
      </c>
      <c r="Y28" s="314">
        <v>0</v>
      </c>
      <c r="Z28" s="314">
        <v>0</v>
      </c>
      <c r="AA28" s="314">
        <v>4</v>
      </c>
      <c r="AB28" s="314">
        <v>0</v>
      </c>
      <c r="AC28" s="314">
        <v>1</v>
      </c>
      <c r="AD28" s="314">
        <v>3</v>
      </c>
      <c r="AE28" s="314">
        <v>1</v>
      </c>
      <c r="AF28" s="314">
        <v>0</v>
      </c>
      <c r="AG28" s="314">
        <v>0</v>
      </c>
      <c r="AH28" s="314">
        <f t="shared" ref="AH28:AH32" si="22">SUM(V28:AG28)</f>
        <v>11</v>
      </c>
      <c r="AI28" s="421">
        <f t="shared" ref="AI28:AI29" si="23">+AH28/AH$22</f>
        <v>6.1797752808988762E-2</v>
      </c>
      <c r="AL28" s="321" t="s">
        <v>266</v>
      </c>
      <c r="AM28" s="298">
        <v>8</v>
      </c>
      <c r="AN28" s="298">
        <v>13</v>
      </c>
      <c r="AO28" s="298">
        <v>10</v>
      </c>
      <c r="AP28" s="298">
        <v>9</v>
      </c>
      <c r="AQ28" s="298">
        <v>11</v>
      </c>
      <c r="AR28" s="298">
        <v>6</v>
      </c>
      <c r="AS28" s="298">
        <v>2</v>
      </c>
      <c r="AT28" s="298">
        <v>6</v>
      </c>
      <c r="AU28" s="298">
        <v>8</v>
      </c>
      <c r="AV28" s="298">
        <v>6</v>
      </c>
      <c r="AW28" s="298">
        <v>2</v>
      </c>
      <c r="AX28" s="298">
        <v>5</v>
      </c>
      <c r="AY28" s="298">
        <f t="shared" si="20"/>
        <v>86</v>
      </c>
      <c r="AZ28" s="421">
        <f t="shared" ref="AZ28:AZ29" si="24">+AY28/AY$25</f>
        <v>0.47252747252747251</v>
      </c>
      <c r="BB28" s="408"/>
    </row>
    <row r="29" spans="1:54" s="283" customFormat="1" ht="18.75" customHeight="1" x14ac:dyDescent="0.15">
      <c r="A29" s="418"/>
      <c r="B29" s="414"/>
      <c r="C29" s="414"/>
      <c r="D29" s="301" t="s">
        <v>266</v>
      </c>
      <c r="E29" s="314">
        <v>19</v>
      </c>
      <c r="F29" s="314">
        <v>23</v>
      </c>
      <c r="G29" s="314">
        <v>8</v>
      </c>
      <c r="H29" s="314">
        <v>18</v>
      </c>
      <c r="I29" s="314">
        <v>23</v>
      </c>
      <c r="J29" s="314">
        <v>20</v>
      </c>
      <c r="K29" s="314">
        <v>18</v>
      </c>
      <c r="L29" s="314">
        <v>13</v>
      </c>
      <c r="M29" s="314">
        <v>11</v>
      </c>
      <c r="N29" s="314">
        <v>17</v>
      </c>
      <c r="O29" s="314">
        <v>11</v>
      </c>
      <c r="P29" s="314">
        <v>20</v>
      </c>
      <c r="Q29" s="314">
        <f t="shared" si="21"/>
        <v>201</v>
      </c>
      <c r="R29" s="421">
        <f t="shared" si="19"/>
        <v>0.46853146853146854</v>
      </c>
      <c r="U29" s="301" t="s">
        <v>266</v>
      </c>
      <c r="V29" s="314">
        <v>11</v>
      </c>
      <c r="W29" s="314">
        <v>14</v>
      </c>
      <c r="X29" s="314">
        <v>12</v>
      </c>
      <c r="Y29" s="314">
        <v>10</v>
      </c>
      <c r="Z29" s="314">
        <v>12</v>
      </c>
      <c r="AA29" s="314">
        <v>9</v>
      </c>
      <c r="AB29" s="314">
        <v>6</v>
      </c>
      <c r="AC29" s="314">
        <v>10</v>
      </c>
      <c r="AD29" s="314">
        <v>15</v>
      </c>
      <c r="AE29" s="314">
        <v>6</v>
      </c>
      <c r="AF29" s="314">
        <v>5</v>
      </c>
      <c r="AG29" s="314">
        <v>10</v>
      </c>
      <c r="AH29" s="314">
        <f t="shared" si="22"/>
        <v>120</v>
      </c>
      <c r="AI29" s="421">
        <f t="shared" si="23"/>
        <v>0.6741573033707865</v>
      </c>
      <c r="AL29" s="321" t="s">
        <v>267</v>
      </c>
      <c r="AM29" s="298">
        <v>10</v>
      </c>
      <c r="AN29" s="298">
        <v>16</v>
      </c>
      <c r="AO29" s="298">
        <v>5</v>
      </c>
      <c r="AP29" s="298">
        <v>9</v>
      </c>
      <c r="AQ29" s="298">
        <v>9</v>
      </c>
      <c r="AR29" s="298">
        <v>3</v>
      </c>
      <c r="AS29" s="298">
        <v>6</v>
      </c>
      <c r="AT29" s="298">
        <v>7</v>
      </c>
      <c r="AU29" s="298">
        <v>6</v>
      </c>
      <c r="AV29" s="298">
        <v>3</v>
      </c>
      <c r="AW29" s="298">
        <v>4</v>
      </c>
      <c r="AX29" s="298">
        <v>8</v>
      </c>
      <c r="AY29" s="298">
        <f t="shared" si="20"/>
        <v>86</v>
      </c>
      <c r="AZ29" s="421">
        <f t="shared" si="24"/>
        <v>0.47252747252747251</v>
      </c>
      <c r="BB29" s="408"/>
    </row>
    <row r="30" spans="1:54" s="283" customFormat="1" ht="18.75" customHeight="1" x14ac:dyDescent="0.15">
      <c r="A30" s="418"/>
      <c r="B30" s="427"/>
      <c r="C30" s="427"/>
      <c r="D30" s="449" t="s">
        <v>267</v>
      </c>
      <c r="E30" s="314">
        <v>3</v>
      </c>
      <c r="F30" s="314">
        <v>1</v>
      </c>
      <c r="G30" s="314">
        <v>0</v>
      </c>
      <c r="H30" s="314">
        <v>1</v>
      </c>
      <c r="I30" s="314">
        <v>4</v>
      </c>
      <c r="J30" s="314">
        <v>2</v>
      </c>
      <c r="K30" s="314">
        <v>8</v>
      </c>
      <c r="L30" s="314">
        <v>3</v>
      </c>
      <c r="M30" s="314">
        <v>4</v>
      </c>
      <c r="N30" s="314">
        <v>2</v>
      </c>
      <c r="O30" s="314">
        <v>3</v>
      </c>
      <c r="P30" s="314">
        <v>2</v>
      </c>
      <c r="Q30" s="314">
        <f t="shared" si="21"/>
        <v>33</v>
      </c>
      <c r="R30" s="421">
        <f t="shared" si="19"/>
        <v>7.6923076923076927E-2</v>
      </c>
      <c r="U30" s="310"/>
      <c r="V30" s="316"/>
      <c r="W30" s="311"/>
      <c r="X30" s="311"/>
      <c r="Y30" s="311"/>
      <c r="Z30" s="311"/>
      <c r="AA30" s="311"/>
      <c r="AB30" s="311"/>
      <c r="AC30" s="311"/>
      <c r="AD30" s="311"/>
      <c r="AE30" s="311"/>
      <c r="AF30" s="311"/>
      <c r="AG30" s="311"/>
      <c r="AH30" s="311"/>
      <c r="AI30" s="312"/>
    </row>
    <row r="31" spans="1:54" s="283" customFormat="1" ht="18.75" customHeight="1" x14ac:dyDescent="0.15">
      <c r="A31" s="418"/>
      <c r="B31" s="427"/>
      <c r="C31" s="427"/>
      <c r="D31" s="310"/>
      <c r="E31" s="426"/>
      <c r="F31" s="426"/>
      <c r="G31" s="426"/>
      <c r="H31" s="426"/>
      <c r="I31" s="426"/>
      <c r="J31" s="426"/>
      <c r="K31" s="426"/>
      <c r="L31" s="426"/>
      <c r="M31" s="426"/>
      <c r="N31" s="426"/>
      <c r="O31" s="426"/>
      <c r="P31" s="426"/>
      <c r="Q31" s="426"/>
      <c r="R31" s="312"/>
      <c r="U31" s="317" t="s">
        <v>268</v>
      </c>
      <c r="V31" s="298">
        <v>13</v>
      </c>
      <c r="W31" s="298">
        <v>20</v>
      </c>
      <c r="X31" s="298">
        <v>16</v>
      </c>
      <c r="Y31" s="298">
        <v>9</v>
      </c>
      <c r="Z31" s="298">
        <v>11</v>
      </c>
      <c r="AA31" s="298">
        <v>15</v>
      </c>
      <c r="AB31" s="298">
        <v>7</v>
      </c>
      <c r="AC31" s="298">
        <v>12</v>
      </c>
      <c r="AD31" s="298">
        <v>24</v>
      </c>
      <c r="AE31" s="298">
        <v>14</v>
      </c>
      <c r="AF31" s="298">
        <v>6</v>
      </c>
      <c r="AG31" s="298">
        <v>11</v>
      </c>
      <c r="AH31" s="314">
        <f t="shared" si="22"/>
        <v>158</v>
      </c>
      <c r="AI31" s="421">
        <f>+AH31/AH$22</f>
        <v>0.88764044943820219</v>
      </c>
      <c r="BA31" s="280"/>
    </row>
    <row r="32" spans="1:54" ht="18.75" customHeight="1" x14ac:dyDescent="0.15">
      <c r="B32" s="427"/>
      <c r="C32" s="427"/>
      <c r="D32" s="317" t="s">
        <v>268</v>
      </c>
      <c r="E32" s="298">
        <v>22</v>
      </c>
      <c r="F32" s="298">
        <v>26</v>
      </c>
      <c r="G32" s="298">
        <v>9</v>
      </c>
      <c r="H32" s="298">
        <v>24</v>
      </c>
      <c r="I32" s="298">
        <v>35</v>
      </c>
      <c r="J32" s="298">
        <v>26</v>
      </c>
      <c r="K32" s="298">
        <v>29</v>
      </c>
      <c r="L32" s="298">
        <v>20</v>
      </c>
      <c r="M32" s="298">
        <v>21</v>
      </c>
      <c r="N32" s="298">
        <v>28</v>
      </c>
      <c r="O32" s="298">
        <v>20</v>
      </c>
      <c r="P32" s="298">
        <v>28</v>
      </c>
      <c r="Q32" s="314">
        <f>SUM(E32:P32)</f>
        <v>288</v>
      </c>
      <c r="R32" s="421">
        <f t="shared" si="19"/>
        <v>0.67132867132867136</v>
      </c>
      <c r="U32" s="317" t="s">
        <v>269</v>
      </c>
      <c r="V32" s="298">
        <v>1</v>
      </c>
      <c r="W32" s="298">
        <v>1</v>
      </c>
      <c r="X32" s="298">
        <v>0</v>
      </c>
      <c r="Y32" s="298">
        <v>2</v>
      </c>
      <c r="Z32" s="298">
        <v>2</v>
      </c>
      <c r="AA32" s="298">
        <v>4</v>
      </c>
      <c r="AB32" s="298">
        <v>0</v>
      </c>
      <c r="AC32" s="298">
        <v>3</v>
      </c>
      <c r="AD32" s="298">
        <v>5</v>
      </c>
      <c r="AE32" s="298">
        <v>0</v>
      </c>
      <c r="AF32" s="298"/>
      <c r="AG32" s="298">
        <v>2</v>
      </c>
      <c r="AH32" s="314">
        <f t="shared" si="22"/>
        <v>20</v>
      </c>
      <c r="AI32" s="421">
        <f>+AH32/AH$22</f>
        <v>0.11235955056179775</v>
      </c>
      <c r="AJ32" s="283"/>
      <c r="AK32" s="283"/>
      <c r="AL32" s="283"/>
      <c r="AM32" s="283"/>
      <c r="AN32" s="283"/>
      <c r="AO32" s="283"/>
      <c r="AP32" s="283"/>
      <c r="AQ32" s="283"/>
      <c r="AR32" s="283"/>
      <c r="AS32" s="283"/>
      <c r="AT32" s="283"/>
      <c r="AU32" s="283"/>
      <c r="AV32" s="283"/>
      <c r="AW32" s="283"/>
      <c r="AX32" s="283"/>
      <c r="AY32" s="283"/>
      <c r="AZ32" s="283"/>
    </row>
    <row r="33" spans="1:52" ht="18.75" customHeight="1" x14ac:dyDescent="0.15">
      <c r="B33" s="427"/>
      <c r="C33" s="427"/>
      <c r="D33" s="317" t="s">
        <v>269</v>
      </c>
      <c r="E33" s="298">
        <v>7</v>
      </c>
      <c r="F33" s="298">
        <v>4</v>
      </c>
      <c r="G33" s="298">
        <v>1</v>
      </c>
      <c r="H33" s="298">
        <v>3</v>
      </c>
      <c r="I33" s="298">
        <v>6</v>
      </c>
      <c r="J33" s="298">
        <v>3</v>
      </c>
      <c r="K33" s="298">
        <v>6</v>
      </c>
      <c r="L33" s="298">
        <v>2</v>
      </c>
      <c r="M33" s="298">
        <v>1</v>
      </c>
      <c r="N33" s="298">
        <v>4</v>
      </c>
      <c r="O33" s="298">
        <v>3</v>
      </c>
      <c r="P33" s="298">
        <v>2</v>
      </c>
      <c r="Q33" s="314">
        <f t="shared" ref="Q33:Q37" si="25">SUM(E33:P33)</f>
        <v>42</v>
      </c>
      <c r="R33" s="421">
        <f t="shared" si="19"/>
        <v>9.7902097902097904E-2</v>
      </c>
      <c r="U33" s="283"/>
      <c r="V33" s="293"/>
      <c r="W33" s="293"/>
      <c r="X33" s="293"/>
      <c r="Y33" s="293"/>
      <c r="Z33" s="293"/>
      <c r="AA33" s="293"/>
      <c r="AB33" s="293"/>
      <c r="AC33" s="293"/>
      <c r="AD33" s="293"/>
      <c r="AE33" s="293"/>
      <c r="AF33" s="293"/>
      <c r="AG33" s="293"/>
      <c r="AH33" s="311"/>
      <c r="AI33" s="283"/>
      <c r="AL33" s="283"/>
      <c r="AM33" s="283"/>
      <c r="AN33" s="283"/>
      <c r="AO33" s="283"/>
      <c r="AP33" s="283"/>
      <c r="AQ33" s="283"/>
      <c r="AR33" s="283"/>
      <c r="AS33" s="283"/>
      <c r="AT33" s="283"/>
      <c r="AU33" s="283"/>
      <c r="AV33" s="283"/>
      <c r="AW33" s="283"/>
      <c r="AX33" s="283"/>
      <c r="AY33" s="283"/>
      <c r="AZ33" s="283"/>
    </row>
    <row r="34" spans="1:52" ht="18.75" customHeight="1" x14ac:dyDescent="0.15">
      <c r="D34" s="317" t="s">
        <v>270</v>
      </c>
      <c r="E34" s="298">
        <v>1</v>
      </c>
      <c r="F34" s="298">
        <v>8</v>
      </c>
      <c r="G34" s="298">
        <v>4</v>
      </c>
      <c r="H34" s="298">
        <v>1</v>
      </c>
      <c r="I34" s="298">
        <v>2</v>
      </c>
      <c r="J34" s="298">
        <v>0</v>
      </c>
      <c r="K34" s="298">
        <v>4</v>
      </c>
      <c r="L34" s="298">
        <v>3</v>
      </c>
      <c r="M34" s="298">
        <v>3</v>
      </c>
      <c r="N34" s="298">
        <v>1</v>
      </c>
      <c r="O34" s="298">
        <v>2</v>
      </c>
      <c r="P34" s="298">
        <v>0</v>
      </c>
      <c r="Q34" s="314">
        <f t="shared" si="25"/>
        <v>29</v>
      </c>
      <c r="R34" s="421">
        <f t="shared" si="19"/>
        <v>6.75990675990676E-2</v>
      </c>
      <c r="U34" s="301" t="s">
        <v>274</v>
      </c>
      <c r="V34" s="298">
        <f>SUM(V35:V37)</f>
        <v>2</v>
      </c>
      <c r="W34" s="298">
        <f t="shared" ref="W34:AH34" si="26">SUM(W35:W37)</f>
        <v>2</v>
      </c>
      <c r="X34" s="298">
        <f t="shared" si="26"/>
        <v>1</v>
      </c>
      <c r="Y34" s="298">
        <f t="shared" si="26"/>
        <v>0</v>
      </c>
      <c r="Z34" s="298">
        <f t="shared" si="26"/>
        <v>1</v>
      </c>
      <c r="AA34" s="298">
        <f t="shared" si="26"/>
        <v>1</v>
      </c>
      <c r="AB34" s="298">
        <f t="shared" si="26"/>
        <v>1</v>
      </c>
      <c r="AC34" s="298">
        <f t="shared" si="26"/>
        <v>0</v>
      </c>
      <c r="AD34" s="298">
        <f t="shared" si="26"/>
        <v>1</v>
      </c>
      <c r="AE34" s="298">
        <f t="shared" si="26"/>
        <v>0</v>
      </c>
      <c r="AF34" s="298">
        <f t="shared" si="26"/>
        <v>0</v>
      </c>
      <c r="AG34" s="298">
        <f t="shared" si="26"/>
        <v>1</v>
      </c>
      <c r="AH34" s="298">
        <f t="shared" si="26"/>
        <v>10</v>
      </c>
      <c r="AI34" s="288">
        <v>1</v>
      </c>
      <c r="AL34" s="283"/>
      <c r="AM34" s="283"/>
      <c r="AN34" s="283"/>
      <c r="AO34" s="283"/>
      <c r="AP34" s="283"/>
      <c r="AQ34" s="283"/>
      <c r="AR34" s="283"/>
      <c r="AS34" s="283"/>
      <c r="AT34" s="283"/>
      <c r="AU34" s="283"/>
      <c r="AV34" s="283"/>
      <c r="AW34" s="283"/>
      <c r="AX34" s="283"/>
      <c r="AY34" s="283"/>
      <c r="AZ34" s="283"/>
    </row>
    <row r="35" spans="1:52" ht="18.75" customHeight="1" x14ac:dyDescent="0.15">
      <c r="B35" s="408"/>
      <c r="C35" s="408"/>
      <c r="D35" s="317" t="s">
        <v>271</v>
      </c>
      <c r="E35" s="298">
        <v>0</v>
      </c>
      <c r="F35" s="298">
        <v>1</v>
      </c>
      <c r="G35" s="298">
        <v>1</v>
      </c>
      <c r="H35" s="298">
        <v>0</v>
      </c>
      <c r="I35" s="298">
        <v>1</v>
      </c>
      <c r="J35" s="298">
        <v>0</v>
      </c>
      <c r="K35" s="298">
        <v>0</v>
      </c>
      <c r="L35" s="298">
        <v>0</v>
      </c>
      <c r="M35" s="298">
        <v>2</v>
      </c>
      <c r="N35" s="298">
        <v>0</v>
      </c>
      <c r="O35" s="298">
        <v>0</v>
      </c>
      <c r="P35" s="298">
        <v>1</v>
      </c>
      <c r="Q35" s="314">
        <f t="shared" si="25"/>
        <v>6</v>
      </c>
      <c r="R35" s="421">
        <f t="shared" si="19"/>
        <v>1.3986013986013986E-2</v>
      </c>
      <c r="U35" s="321" t="s">
        <v>275</v>
      </c>
      <c r="V35" s="298">
        <v>0</v>
      </c>
      <c r="W35" s="298">
        <v>0</v>
      </c>
      <c r="X35" s="298">
        <v>0</v>
      </c>
      <c r="Y35" s="298">
        <v>0</v>
      </c>
      <c r="Z35" s="298">
        <v>0</v>
      </c>
      <c r="AA35" s="298">
        <v>0</v>
      </c>
      <c r="AB35" s="298">
        <v>0</v>
      </c>
      <c r="AC35" s="298">
        <v>0</v>
      </c>
      <c r="AD35" s="298">
        <v>0</v>
      </c>
      <c r="AE35" s="298">
        <v>0</v>
      </c>
      <c r="AF35" s="298">
        <v>0</v>
      </c>
      <c r="AG35" s="298">
        <v>0</v>
      </c>
      <c r="AH35" s="298">
        <v>0</v>
      </c>
      <c r="AI35" s="286">
        <v>0</v>
      </c>
      <c r="AL35" s="283"/>
      <c r="AM35" s="283"/>
      <c r="AN35" s="283"/>
      <c r="AO35" s="283"/>
      <c r="AP35" s="283"/>
      <c r="AQ35" s="283"/>
      <c r="AR35" s="283"/>
      <c r="AS35" s="283"/>
      <c r="AT35" s="283"/>
      <c r="AU35" s="283"/>
      <c r="AV35" s="283"/>
      <c r="AW35" s="283"/>
      <c r="AX35" s="283"/>
      <c r="AY35" s="283"/>
      <c r="AZ35" s="283"/>
    </row>
    <row r="36" spans="1:52" ht="18.75" customHeight="1" x14ac:dyDescent="0.15">
      <c r="B36" s="408"/>
      <c r="C36" s="408"/>
      <c r="D36" s="317" t="s">
        <v>272</v>
      </c>
      <c r="E36" s="298">
        <v>1</v>
      </c>
      <c r="F36" s="298">
        <v>1</v>
      </c>
      <c r="G36" s="298">
        <v>0</v>
      </c>
      <c r="H36" s="298">
        <v>1</v>
      </c>
      <c r="I36" s="298">
        <v>1</v>
      </c>
      <c r="J36" s="298">
        <v>4</v>
      </c>
      <c r="K36" s="298">
        <v>0</v>
      </c>
      <c r="L36" s="298">
        <v>1</v>
      </c>
      <c r="M36" s="298">
        <v>1</v>
      </c>
      <c r="N36" s="298">
        <v>1</v>
      </c>
      <c r="O36" s="298">
        <v>0</v>
      </c>
      <c r="P36" s="298">
        <v>0</v>
      </c>
      <c r="Q36" s="314">
        <f t="shared" si="25"/>
        <v>11</v>
      </c>
      <c r="R36" s="421">
        <f t="shared" si="19"/>
        <v>2.564102564102564E-2</v>
      </c>
      <c r="U36" s="321" t="s">
        <v>276</v>
      </c>
      <c r="V36" s="298">
        <v>0</v>
      </c>
      <c r="W36" s="298">
        <v>0</v>
      </c>
      <c r="X36" s="298">
        <v>0</v>
      </c>
      <c r="Y36" s="298">
        <v>0</v>
      </c>
      <c r="Z36" s="298">
        <v>0</v>
      </c>
      <c r="AA36" s="298"/>
      <c r="AB36" s="298">
        <v>0</v>
      </c>
      <c r="AC36" s="298">
        <v>0</v>
      </c>
      <c r="AD36" s="298">
        <v>0</v>
      </c>
      <c r="AE36" s="298">
        <v>0</v>
      </c>
      <c r="AF36" s="298">
        <v>0</v>
      </c>
      <c r="AG36" s="298">
        <v>0</v>
      </c>
      <c r="AH36" s="298">
        <v>0</v>
      </c>
      <c r="AI36" s="286">
        <v>0</v>
      </c>
      <c r="AL36" s="283"/>
      <c r="AM36" s="283"/>
      <c r="AN36" s="283"/>
      <c r="AO36" s="283"/>
      <c r="AP36" s="283"/>
      <c r="AQ36" s="283"/>
      <c r="AR36" s="283"/>
      <c r="AS36" s="283"/>
      <c r="AT36" s="283"/>
      <c r="AU36" s="283"/>
      <c r="AV36" s="283"/>
      <c r="AW36" s="283"/>
      <c r="AX36" s="283"/>
      <c r="AY36" s="283"/>
      <c r="AZ36" s="283"/>
    </row>
    <row r="37" spans="1:52" ht="18.75" customHeight="1" x14ac:dyDescent="0.15">
      <c r="B37" s="408"/>
      <c r="C37" s="408"/>
      <c r="D37" s="317" t="s">
        <v>273</v>
      </c>
      <c r="E37" s="298">
        <v>1</v>
      </c>
      <c r="F37" s="298">
        <v>6</v>
      </c>
      <c r="G37" s="298">
        <v>1</v>
      </c>
      <c r="H37" s="298">
        <v>1</v>
      </c>
      <c r="I37" s="298">
        <v>3</v>
      </c>
      <c r="J37" s="298">
        <v>10</v>
      </c>
      <c r="K37" s="298">
        <v>4</v>
      </c>
      <c r="L37" s="298">
        <v>4</v>
      </c>
      <c r="M37" s="298">
        <v>6</v>
      </c>
      <c r="N37" s="298">
        <v>8</v>
      </c>
      <c r="O37" s="298">
        <v>3</v>
      </c>
      <c r="P37" s="298">
        <v>6</v>
      </c>
      <c r="Q37" s="314">
        <f t="shared" si="25"/>
        <v>53</v>
      </c>
      <c r="R37" s="421">
        <v>0.123</v>
      </c>
      <c r="U37" s="321" t="s">
        <v>266</v>
      </c>
      <c r="V37" s="298">
        <v>2</v>
      </c>
      <c r="W37" s="298">
        <v>2</v>
      </c>
      <c r="X37" s="298">
        <v>1</v>
      </c>
      <c r="Y37" s="298">
        <v>0</v>
      </c>
      <c r="Z37" s="298">
        <v>1</v>
      </c>
      <c r="AA37" s="298">
        <v>1</v>
      </c>
      <c r="AB37" s="298">
        <v>1</v>
      </c>
      <c r="AC37" s="298">
        <v>0</v>
      </c>
      <c r="AD37" s="298">
        <v>1</v>
      </c>
      <c r="AE37" s="298">
        <v>0</v>
      </c>
      <c r="AF37" s="298">
        <v>0</v>
      </c>
      <c r="AG37" s="298">
        <v>1</v>
      </c>
      <c r="AH37" s="314">
        <f t="shared" ref="AH37" si="27">SUM(V37:AG37)</f>
        <v>10</v>
      </c>
      <c r="AI37" s="286">
        <v>1</v>
      </c>
      <c r="AL37" s="283"/>
      <c r="AM37" s="283"/>
      <c r="AN37" s="283"/>
      <c r="AO37" s="283"/>
      <c r="AP37" s="283"/>
      <c r="AQ37" s="283"/>
      <c r="AR37" s="283"/>
      <c r="AS37" s="283"/>
      <c r="AT37" s="283"/>
      <c r="AU37" s="283"/>
      <c r="AV37" s="283"/>
      <c r="AW37" s="283"/>
      <c r="AX37" s="283"/>
      <c r="AY37" s="283"/>
      <c r="AZ37" s="283"/>
    </row>
    <row r="38" spans="1:52" ht="18.75" customHeight="1" x14ac:dyDescent="0.15">
      <c r="B38" s="408"/>
      <c r="C38" s="408"/>
      <c r="D38" s="283"/>
      <c r="E38" s="293"/>
      <c r="F38" s="293"/>
      <c r="G38" s="293"/>
      <c r="H38" s="293"/>
      <c r="I38" s="293"/>
      <c r="J38" s="293"/>
      <c r="K38" s="293"/>
      <c r="L38" s="293"/>
      <c r="M38" s="293"/>
      <c r="N38" s="293"/>
      <c r="O38" s="293"/>
      <c r="P38" s="293"/>
      <c r="Q38" s="311"/>
      <c r="R38" s="283"/>
      <c r="U38" s="283"/>
      <c r="V38" s="293"/>
      <c r="W38" s="293"/>
      <c r="X38" s="293"/>
      <c r="Y38" s="293"/>
      <c r="Z38" s="293"/>
      <c r="AA38" s="293"/>
      <c r="AB38" s="293"/>
      <c r="AC38" s="293"/>
      <c r="AD38" s="293"/>
      <c r="AE38" s="293"/>
      <c r="AF38" s="293"/>
      <c r="AG38" s="293"/>
      <c r="AH38" s="293"/>
      <c r="AI38" s="283"/>
      <c r="AL38" s="283"/>
      <c r="AM38" s="283"/>
      <c r="AN38" s="283"/>
      <c r="AO38" s="283"/>
      <c r="AP38" s="283"/>
      <c r="AQ38" s="283"/>
      <c r="AR38" s="283"/>
      <c r="AS38" s="283"/>
      <c r="AT38" s="283"/>
      <c r="AU38" s="283"/>
      <c r="AV38" s="283"/>
      <c r="AW38" s="283"/>
      <c r="AX38" s="283"/>
      <c r="AY38" s="283"/>
      <c r="AZ38" s="283"/>
    </row>
    <row r="39" spans="1:52" ht="18.75" customHeight="1" x14ac:dyDescent="0.15">
      <c r="B39" s="408"/>
      <c r="C39" s="408"/>
      <c r="D39" s="301" t="s">
        <v>274</v>
      </c>
      <c r="E39" s="298">
        <f>SUM(E40:E43)</f>
        <v>3</v>
      </c>
      <c r="F39" s="298">
        <f t="shared" ref="F39:O39" si="28">SUM(F40:F43)</f>
        <v>2</v>
      </c>
      <c r="G39" s="298">
        <f t="shared" si="28"/>
        <v>2</v>
      </c>
      <c r="H39" s="298">
        <f t="shared" si="28"/>
        <v>2</v>
      </c>
      <c r="I39" s="298">
        <f t="shared" si="28"/>
        <v>1</v>
      </c>
      <c r="J39" s="298">
        <f t="shared" si="28"/>
        <v>2</v>
      </c>
      <c r="K39" s="298">
        <f t="shared" si="28"/>
        <v>1</v>
      </c>
      <c r="L39" s="298">
        <f t="shared" si="28"/>
        <v>1</v>
      </c>
      <c r="M39" s="298">
        <f t="shared" si="28"/>
        <v>0</v>
      </c>
      <c r="N39" s="298">
        <f t="shared" si="28"/>
        <v>1</v>
      </c>
      <c r="O39" s="298">
        <f t="shared" si="28"/>
        <v>2</v>
      </c>
      <c r="P39" s="298">
        <v>1</v>
      </c>
      <c r="Q39" s="314">
        <f t="shared" si="21"/>
        <v>18</v>
      </c>
      <c r="R39" s="288">
        <v>0.99999999999999989</v>
      </c>
      <c r="U39" s="283"/>
      <c r="AL39" s="283"/>
      <c r="AM39" s="283"/>
      <c r="AN39" s="283"/>
      <c r="AO39" s="283"/>
      <c r="AP39" s="283"/>
      <c r="AQ39" s="283"/>
      <c r="AR39" s="283"/>
      <c r="AS39" s="283"/>
      <c r="AT39" s="283"/>
      <c r="AU39" s="283"/>
      <c r="AV39" s="283"/>
      <c r="AW39" s="283"/>
      <c r="AX39" s="283"/>
      <c r="AY39" s="283"/>
      <c r="AZ39" s="283"/>
    </row>
    <row r="40" spans="1:52" ht="18.75" customHeight="1" x14ac:dyDescent="0.15">
      <c r="B40" s="408"/>
      <c r="C40" s="408"/>
      <c r="D40" s="321" t="s">
        <v>275</v>
      </c>
      <c r="E40" s="285">
        <v>0</v>
      </c>
      <c r="F40" s="285">
        <v>1</v>
      </c>
      <c r="G40" s="285">
        <v>2</v>
      </c>
      <c r="H40" s="285">
        <v>0</v>
      </c>
      <c r="I40" s="285">
        <v>0</v>
      </c>
      <c r="J40" s="285">
        <v>0</v>
      </c>
      <c r="K40" s="285">
        <v>0</v>
      </c>
      <c r="L40" s="285">
        <v>1</v>
      </c>
      <c r="M40" s="285">
        <v>0</v>
      </c>
      <c r="N40" s="285">
        <v>1</v>
      </c>
      <c r="O40" s="285">
        <v>1</v>
      </c>
      <c r="P40" s="285">
        <v>1</v>
      </c>
      <c r="Q40" s="314">
        <f t="shared" si="21"/>
        <v>7</v>
      </c>
      <c r="R40" s="421">
        <f>+Q40/Q$39</f>
        <v>0.3888888888888889</v>
      </c>
      <c r="U40" s="283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</row>
    <row r="41" spans="1:52" s="281" customFormat="1" ht="18.75" customHeight="1" x14ac:dyDescent="0.15">
      <c r="A41" s="420"/>
      <c r="B41" s="416"/>
      <c r="C41" s="416"/>
      <c r="D41" s="321" t="s">
        <v>276</v>
      </c>
      <c r="E41" s="285">
        <v>0</v>
      </c>
      <c r="F41" s="285">
        <v>0</v>
      </c>
      <c r="G41" s="285">
        <v>0</v>
      </c>
      <c r="H41" s="285">
        <v>0</v>
      </c>
      <c r="I41" s="285">
        <v>0</v>
      </c>
      <c r="J41" s="285">
        <v>0</v>
      </c>
      <c r="K41" s="285">
        <v>0</v>
      </c>
      <c r="L41" s="285">
        <v>0</v>
      </c>
      <c r="M41" s="285">
        <v>0</v>
      </c>
      <c r="N41" s="285">
        <v>0</v>
      </c>
      <c r="O41" s="285">
        <v>0</v>
      </c>
      <c r="P41" s="285">
        <v>0</v>
      </c>
      <c r="Q41" s="314">
        <f t="shared" si="21"/>
        <v>0</v>
      </c>
      <c r="R41" s="421">
        <f t="shared" ref="R41:R43" si="29">+Q41/Q$39</f>
        <v>0</v>
      </c>
      <c r="U41" s="283"/>
      <c r="V41" s="280"/>
      <c r="W41" s="280"/>
      <c r="X41" s="280"/>
      <c r="Y41" s="280"/>
      <c r="Z41" s="280"/>
      <c r="AA41" s="280"/>
      <c r="AB41" s="280"/>
      <c r="AC41" s="280"/>
      <c r="AD41" s="280"/>
      <c r="AE41" s="280"/>
      <c r="AF41" s="280"/>
      <c r="AG41" s="280"/>
      <c r="AH41" s="280"/>
      <c r="AI41" s="280"/>
      <c r="AJ41" s="280"/>
      <c r="AK41" s="28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</row>
    <row r="42" spans="1:52" s="283" customFormat="1" ht="18.75" customHeight="1" x14ac:dyDescent="0.15">
      <c r="A42" s="418"/>
      <c r="B42" s="414"/>
      <c r="C42" s="414"/>
      <c r="D42" s="321" t="s">
        <v>266</v>
      </c>
      <c r="E42" s="285">
        <v>1</v>
      </c>
      <c r="F42" s="285">
        <v>1</v>
      </c>
      <c r="G42" s="285">
        <v>0</v>
      </c>
      <c r="H42" s="285">
        <v>2</v>
      </c>
      <c r="I42" s="285">
        <v>0</v>
      </c>
      <c r="J42" s="285">
        <v>2</v>
      </c>
      <c r="K42" s="285">
        <v>0</v>
      </c>
      <c r="L42" s="285">
        <v>0</v>
      </c>
      <c r="M42" s="285">
        <v>0</v>
      </c>
      <c r="N42" s="285">
        <v>0</v>
      </c>
      <c r="O42" s="285">
        <v>1</v>
      </c>
      <c r="P42" s="285">
        <v>0</v>
      </c>
      <c r="Q42" s="314">
        <f t="shared" si="21"/>
        <v>7</v>
      </c>
      <c r="R42" s="421">
        <f t="shared" si="29"/>
        <v>0.3888888888888889</v>
      </c>
      <c r="V42" s="280"/>
      <c r="W42" s="280"/>
      <c r="X42" s="280"/>
      <c r="Y42" s="280"/>
      <c r="Z42" s="280"/>
      <c r="AA42" s="280"/>
      <c r="AB42" s="280"/>
      <c r="AC42" s="280"/>
      <c r="AD42" s="280"/>
      <c r="AE42" s="280"/>
      <c r="AF42" s="280"/>
      <c r="AG42" s="280"/>
      <c r="AH42" s="280"/>
      <c r="AI42" s="28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</row>
    <row r="43" spans="1:52" s="283" customFormat="1" ht="18.75" customHeight="1" x14ac:dyDescent="0.15">
      <c r="A43" s="418"/>
      <c r="B43" s="418"/>
      <c r="C43" s="418"/>
      <c r="D43" s="321" t="s">
        <v>267</v>
      </c>
      <c r="E43" s="285">
        <v>2</v>
      </c>
      <c r="F43" s="285">
        <v>0</v>
      </c>
      <c r="G43" s="285">
        <v>0</v>
      </c>
      <c r="H43" s="285">
        <v>0</v>
      </c>
      <c r="I43" s="285">
        <v>1</v>
      </c>
      <c r="J43" s="285">
        <v>0</v>
      </c>
      <c r="K43" s="285">
        <v>1</v>
      </c>
      <c r="L43" s="285">
        <v>0</v>
      </c>
      <c r="M43" s="285">
        <v>0</v>
      </c>
      <c r="N43" s="285">
        <v>0</v>
      </c>
      <c r="O43" s="285">
        <v>0</v>
      </c>
      <c r="P43" s="285">
        <v>0</v>
      </c>
      <c r="Q43" s="314">
        <f t="shared" si="21"/>
        <v>4</v>
      </c>
      <c r="R43" s="421">
        <f t="shared" si="29"/>
        <v>0.22222222222222221</v>
      </c>
      <c r="U43" s="280"/>
      <c r="V43" s="280"/>
      <c r="W43" s="280"/>
      <c r="X43" s="280"/>
      <c r="Y43" s="280"/>
      <c r="Z43" s="280"/>
      <c r="AA43" s="280"/>
      <c r="AB43" s="280"/>
      <c r="AC43" s="280"/>
      <c r="AD43" s="280"/>
      <c r="AE43" s="280"/>
      <c r="AF43" s="280"/>
      <c r="AG43" s="280"/>
      <c r="AH43" s="280"/>
      <c r="AI43" s="28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</row>
    <row r="44" spans="1:52" s="283" customFormat="1" ht="18.75" customHeight="1" x14ac:dyDescent="0.15">
      <c r="A44" s="418"/>
      <c r="B44" s="418"/>
      <c r="C44" s="418"/>
      <c r="D44" s="280"/>
      <c r="E44" s="294"/>
      <c r="F44" s="294"/>
      <c r="G44" s="280"/>
      <c r="H44" s="280"/>
      <c r="I44" s="280"/>
      <c r="J44" s="280"/>
      <c r="K44" s="280"/>
      <c r="L44" s="280"/>
      <c r="M44" s="280"/>
      <c r="N44" s="280"/>
      <c r="O44" s="280"/>
      <c r="P44" s="280"/>
      <c r="Q44" s="280"/>
      <c r="R44" s="280"/>
      <c r="U44" s="280"/>
      <c r="V44" s="280"/>
      <c r="W44" s="280"/>
      <c r="X44" s="280"/>
      <c r="Y44" s="280"/>
      <c r="Z44" s="280"/>
      <c r="AA44" s="280"/>
      <c r="AB44" s="280"/>
      <c r="AC44" s="280"/>
      <c r="AD44" s="280"/>
      <c r="AE44" s="280"/>
      <c r="AF44" s="280"/>
      <c r="AG44" s="280"/>
      <c r="AH44" s="280"/>
      <c r="AI44" s="28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</row>
    <row r="45" spans="1:52" s="283" customFormat="1" ht="18.75" customHeight="1" x14ac:dyDescent="0.15">
      <c r="A45" s="418"/>
      <c r="B45" s="418"/>
      <c r="C45" s="418"/>
      <c r="D45" s="280"/>
      <c r="E45" s="280"/>
      <c r="F45" s="280"/>
      <c r="G45" s="280"/>
      <c r="H45" s="280"/>
      <c r="I45" s="280"/>
      <c r="J45" s="280"/>
      <c r="K45" s="280"/>
      <c r="L45" s="280"/>
      <c r="M45" s="280"/>
      <c r="N45" s="280"/>
      <c r="O45" s="280"/>
      <c r="P45" s="280"/>
      <c r="Q45" s="280"/>
      <c r="R45" s="280"/>
      <c r="V45" s="280"/>
      <c r="W45" s="280"/>
      <c r="X45" s="280"/>
      <c r="Y45" s="280"/>
      <c r="Z45" s="280"/>
      <c r="AA45" s="280"/>
      <c r="AB45" s="280"/>
      <c r="AC45" s="280"/>
      <c r="AD45" s="280"/>
      <c r="AE45" s="280"/>
      <c r="AF45" s="280"/>
      <c r="AG45" s="280"/>
      <c r="AH45" s="280"/>
      <c r="AI45" s="280"/>
      <c r="AL45" s="280"/>
      <c r="AM45" s="280"/>
      <c r="AN45" s="280"/>
      <c r="AO45" s="280"/>
      <c r="AP45" s="280"/>
      <c r="AQ45" s="280"/>
      <c r="AR45" s="280"/>
      <c r="AS45" s="280"/>
      <c r="AT45" s="280"/>
      <c r="AU45" s="280"/>
      <c r="AV45" s="280"/>
      <c r="AW45" s="280"/>
      <c r="AX45" s="280"/>
      <c r="AY45" s="280"/>
      <c r="AZ45" s="280"/>
    </row>
    <row r="46" spans="1:52" s="283" customFormat="1" ht="18.75" customHeight="1" x14ac:dyDescent="0.15">
      <c r="A46" s="418"/>
      <c r="B46" s="418"/>
      <c r="C46" s="418"/>
      <c r="D46" s="280"/>
      <c r="E46" s="280"/>
      <c r="F46" s="280"/>
      <c r="G46" s="280"/>
      <c r="H46" s="280"/>
      <c r="I46" s="280"/>
      <c r="J46" s="280"/>
      <c r="K46" s="280"/>
      <c r="L46" s="280"/>
      <c r="M46" s="280"/>
      <c r="N46" s="280"/>
      <c r="O46" s="280"/>
      <c r="P46" s="280"/>
      <c r="Q46" s="280"/>
      <c r="R46" s="280"/>
      <c r="V46" s="280"/>
      <c r="W46" s="280"/>
      <c r="X46" s="280"/>
      <c r="Y46" s="280"/>
      <c r="Z46" s="280"/>
      <c r="AA46" s="280"/>
      <c r="AB46" s="280"/>
      <c r="AC46" s="280"/>
      <c r="AD46" s="280"/>
      <c r="AE46" s="280"/>
      <c r="AF46" s="280"/>
      <c r="AG46" s="280"/>
      <c r="AH46" s="280"/>
      <c r="AI46" s="280"/>
      <c r="AL46" s="280"/>
      <c r="AM46" s="280"/>
      <c r="AN46" s="280"/>
      <c r="AO46" s="280"/>
      <c r="AP46" s="280"/>
      <c r="AQ46" s="280"/>
      <c r="AR46" s="280"/>
      <c r="AS46" s="280"/>
      <c r="AT46" s="280"/>
      <c r="AU46" s="280"/>
      <c r="AV46" s="280"/>
      <c r="AW46" s="280"/>
      <c r="AX46" s="280"/>
      <c r="AY46" s="280"/>
      <c r="AZ46" s="280"/>
    </row>
    <row r="47" spans="1:52" s="283" customFormat="1" ht="19.5" customHeight="1" x14ac:dyDescent="0.15">
      <c r="A47" s="418"/>
      <c r="B47" s="414"/>
      <c r="C47" s="414"/>
      <c r="D47" s="280"/>
      <c r="E47" s="280"/>
      <c r="F47" s="280"/>
      <c r="G47" s="280"/>
      <c r="H47" s="280"/>
      <c r="I47" s="280"/>
      <c r="J47" s="280"/>
      <c r="K47" s="280"/>
      <c r="L47" s="280"/>
      <c r="M47" s="280"/>
      <c r="N47" s="280"/>
      <c r="O47" s="280"/>
      <c r="P47" s="280"/>
      <c r="Q47" s="280"/>
      <c r="R47" s="280"/>
      <c r="V47" s="280"/>
      <c r="W47" s="280"/>
      <c r="X47" s="280"/>
      <c r="Y47" s="280"/>
      <c r="Z47" s="280"/>
      <c r="AA47" s="280"/>
      <c r="AB47" s="280"/>
      <c r="AC47" s="280"/>
      <c r="AD47" s="280"/>
      <c r="AE47" s="280"/>
      <c r="AF47" s="280"/>
      <c r="AG47" s="280"/>
      <c r="AH47" s="280"/>
      <c r="AI47" s="280"/>
      <c r="AL47" s="280"/>
      <c r="AM47" s="280"/>
      <c r="AN47" s="280"/>
      <c r="AO47" s="280"/>
      <c r="AP47" s="280"/>
      <c r="AQ47" s="280"/>
      <c r="AR47" s="280"/>
      <c r="AS47" s="280"/>
      <c r="AT47" s="280"/>
      <c r="AU47" s="280"/>
      <c r="AV47" s="280"/>
      <c r="AW47" s="280"/>
      <c r="AX47" s="280"/>
      <c r="AY47" s="280"/>
      <c r="AZ47" s="280"/>
    </row>
    <row r="64997" spans="23:23" x14ac:dyDescent="0.15">
      <c r="W64997" s="320"/>
    </row>
  </sheetData>
  <sortState xmlns:xlrd2="http://schemas.microsoft.com/office/spreadsheetml/2017/richdata2" ref="U11:AH15">
    <sortCondition descending="1" ref="AH11:AH15"/>
  </sortState>
  <mergeCells count="3">
    <mergeCell ref="Q1:R1"/>
    <mergeCell ref="AH1:AI1"/>
    <mergeCell ref="AY1:AZ1"/>
  </mergeCells>
  <phoneticPr fontId="11"/>
  <dataValidations count="2">
    <dataValidation imeMode="off" allowBlank="1" showInputMessage="1" showErrorMessage="1" sqref="R2:R37 V1:AH1 AM1:AY1 E39:R43 V2:AI32 E1:Q30 E32:Q37 AM25:AY29 AZ25:AZ30 V34:AI38 AM2:AZ23" xr:uid="{00000000-0002-0000-0000-000000000000}"/>
    <dataValidation imeMode="on" allowBlank="1" showInputMessage="1" showErrorMessage="1" sqref="U34:U42 D39:D43 E31:Q31 U45:U47 AL25:AL30 D1:D37 U1:U32 AL1:AL23" xr:uid="{00000000-0002-0000-0000-000001000000}"/>
  </dataValidations>
  <pageMargins left="0.82677165354330717" right="0.31496062992125984" top="0.74803149606299213" bottom="0.74803149606299213" header="0.31496062992125984" footer="0.31496062992125984"/>
  <pageSetup paperSize="9" scale="90" orientation="portrait" r:id="rId1"/>
  <colBreaks count="2" manualBreakCount="2">
    <brk id="19" max="45" man="1"/>
    <brk id="36" max="4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/>
    <pageSetUpPr fitToPage="1"/>
  </sheetPr>
  <dimension ref="A1:U61"/>
  <sheetViews>
    <sheetView zoomScale="112" zoomScaleNormal="112" workbookViewId="0"/>
  </sheetViews>
  <sheetFormatPr defaultColWidth="9" defaultRowHeight="12" x14ac:dyDescent="0.15"/>
  <cols>
    <col min="1" max="1" width="5.625" style="10" customWidth="1"/>
    <col min="2" max="9" width="5" style="10" customWidth="1"/>
    <col min="10" max="16" width="5.625" style="10" customWidth="1"/>
    <col min="17" max="17" width="6.5" style="10" customWidth="1"/>
    <col min="18" max="21" width="5.625" style="10" customWidth="1"/>
    <col min="22" max="16384" width="9" style="1"/>
  </cols>
  <sheetData>
    <row r="1" spans="1:21" ht="14.25" x14ac:dyDescent="0.15">
      <c r="A1" s="91" t="s">
        <v>236</v>
      </c>
    </row>
    <row r="2" spans="1:21" ht="14.25" x14ac:dyDescent="0.15">
      <c r="A2" s="91"/>
    </row>
    <row r="3" spans="1:21" ht="14.25" customHeight="1" x14ac:dyDescent="0.15">
      <c r="A3" s="92" t="s">
        <v>157</v>
      </c>
      <c r="T3" s="563" t="s">
        <v>224</v>
      </c>
      <c r="U3" s="563"/>
    </row>
    <row r="4" spans="1:21" ht="16.5" customHeight="1" x14ac:dyDescent="0.15">
      <c r="A4" s="564" t="s">
        <v>14</v>
      </c>
      <c r="B4" s="584" t="s">
        <v>158</v>
      </c>
      <c r="C4" s="585"/>
      <c r="D4" s="585"/>
      <c r="E4" s="585"/>
      <c r="F4" s="585"/>
      <c r="G4" s="585"/>
      <c r="H4" s="585"/>
      <c r="I4" s="586"/>
      <c r="J4" s="567" t="s">
        <v>159</v>
      </c>
      <c r="K4" s="568"/>
      <c r="L4" s="568"/>
      <c r="M4" s="568"/>
      <c r="N4" s="568"/>
      <c r="O4" s="568"/>
      <c r="P4" s="568"/>
      <c r="Q4" s="568"/>
      <c r="R4" s="568"/>
      <c r="S4" s="569"/>
      <c r="T4" s="567" t="s">
        <v>160</v>
      </c>
      <c r="U4" s="569"/>
    </row>
    <row r="5" spans="1:21" ht="16.5" customHeight="1" x14ac:dyDescent="0.15">
      <c r="A5" s="565"/>
      <c r="B5" s="571" t="s">
        <v>161</v>
      </c>
      <c r="C5" s="587"/>
      <c r="D5" s="587"/>
      <c r="E5" s="587"/>
      <c r="F5" s="587"/>
      <c r="G5" s="587"/>
      <c r="H5" s="588"/>
      <c r="I5" s="573" t="s">
        <v>162</v>
      </c>
      <c r="J5" s="575" t="s">
        <v>163</v>
      </c>
      <c r="K5" s="561" t="s">
        <v>164</v>
      </c>
      <c r="L5" s="577" t="s">
        <v>165</v>
      </c>
      <c r="M5" s="579" t="s">
        <v>166</v>
      </c>
      <c r="N5" s="561" t="s">
        <v>167</v>
      </c>
      <c r="O5" s="561" t="s">
        <v>168</v>
      </c>
      <c r="P5" s="581" t="s">
        <v>169</v>
      </c>
      <c r="Q5" s="581" t="s">
        <v>228</v>
      </c>
      <c r="R5" s="561" t="s">
        <v>170</v>
      </c>
      <c r="S5" s="573" t="s">
        <v>10</v>
      </c>
      <c r="T5" s="575" t="s">
        <v>171</v>
      </c>
      <c r="U5" s="573" t="s">
        <v>172</v>
      </c>
    </row>
    <row r="6" spans="1:21" ht="24" customHeight="1" x14ac:dyDescent="0.15">
      <c r="A6" s="583"/>
      <c r="B6" s="93" t="s">
        <v>15</v>
      </c>
      <c r="C6" s="94" t="s">
        <v>17</v>
      </c>
      <c r="D6" s="95" t="s">
        <v>3</v>
      </c>
      <c r="E6" s="96" t="s">
        <v>7</v>
      </c>
      <c r="F6" s="96" t="s">
        <v>20</v>
      </c>
      <c r="G6" s="95" t="s">
        <v>2</v>
      </c>
      <c r="H6" s="94" t="s">
        <v>37</v>
      </c>
      <c r="I6" s="589"/>
      <c r="J6" s="576"/>
      <c r="K6" s="562"/>
      <c r="L6" s="578"/>
      <c r="M6" s="580"/>
      <c r="N6" s="562"/>
      <c r="O6" s="562"/>
      <c r="P6" s="582"/>
      <c r="Q6" s="582"/>
      <c r="R6" s="562"/>
      <c r="S6" s="574"/>
      <c r="T6" s="576"/>
      <c r="U6" s="574"/>
    </row>
    <row r="7" spans="1:21" ht="16.5" customHeight="1" x14ac:dyDescent="0.15">
      <c r="A7" s="97" t="s">
        <v>32</v>
      </c>
      <c r="B7" s="98">
        <v>31</v>
      </c>
      <c r="C7" s="99">
        <v>28</v>
      </c>
      <c r="D7" s="99">
        <v>108</v>
      </c>
      <c r="E7" s="99"/>
      <c r="F7" s="99"/>
      <c r="G7" s="99">
        <v>1</v>
      </c>
      <c r="H7" s="99">
        <f>SUM(B7:G7)</f>
        <v>168</v>
      </c>
      <c r="I7" s="100">
        <v>389</v>
      </c>
      <c r="J7" s="101">
        <v>50</v>
      </c>
      <c r="K7" s="99">
        <v>11</v>
      </c>
      <c r="L7" s="99">
        <v>35</v>
      </c>
      <c r="M7" s="99">
        <v>31</v>
      </c>
      <c r="N7" s="99">
        <v>250</v>
      </c>
      <c r="O7" s="99">
        <v>27</v>
      </c>
      <c r="P7" s="99">
        <v>268</v>
      </c>
      <c r="Q7" s="105">
        <v>268</v>
      </c>
      <c r="R7" s="99">
        <v>2</v>
      </c>
      <c r="S7" s="102">
        <f>SUM(J7:R7)</f>
        <v>942</v>
      </c>
      <c r="T7" s="98">
        <v>891</v>
      </c>
      <c r="U7" s="100">
        <v>1385</v>
      </c>
    </row>
    <row r="8" spans="1:21" ht="16.5" customHeight="1" x14ac:dyDescent="0.15">
      <c r="A8" s="103" t="s">
        <v>173</v>
      </c>
      <c r="B8" s="104">
        <v>32</v>
      </c>
      <c r="C8" s="105">
        <v>37</v>
      </c>
      <c r="D8" s="105">
        <v>160</v>
      </c>
      <c r="E8" s="99"/>
      <c r="F8" s="99"/>
      <c r="G8" s="105"/>
      <c r="H8" s="99">
        <f>SUM(B8:G8)</f>
        <v>229</v>
      </c>
      <c r="I8" s="106">
        <v>615</v>
      </c>
      <c r="J8" s="101">
        <v>37</v>
      </c>
      <c r="K8" s="99">
        <v>2</v>
      </c>
      <c r="L8" s="99">
        <v>35</v>
      </c>
      <c r="M8" s="99">
        <v>19</v>
      </c>
      <c r="N8" s="99">
        <v>236</v>
      </c>
      <c r="O8" s="99">
        <v>29</v>
      </c>
      <c r="P8" s="99">
        <v>365</v>
      </c>
      <c r="Q8" s="105">
        <v>364</v>
      </c>
      <c r="R8" s="99">
        <v>5</v>
      </c>
      <c r="S8" s="102">
        <f t="shared" ref="S8:S18" si="0">SUM(J8:R8)</f>
        <v>1092</v>
      </c>
      <c r="T8" s="104">
        <v>1303</v>
      </c>
      <c r="U8" s="106">
        <v>2132</v>
      </c>
    </row>
    <row r="9" spans="1:21" ht="16.5" customHeight="1" x14ac:dyDescent="0.15">
      <c r="A9" s="103" t="s">
        <v>52</v>
      </c>
      <c r="B9" s="104">
        <v>11</v>
      </c>
      <c r="C9" s="105">
        <v>43</v>
      </c>
      <c r="D9" s="105">
        <v>69</v>
      </c>
      <c r="E9" s="99"/>
      <c r="F9" s="99"/>
      <c r="G9" s="105">
        <v>6</v>
      </c>
      <c r="H9" s="99">
        <f>SUM(B9:G9)</f>
        <v>129</v>
      </c>
      <c r="I9" s="106">
        <v>316</v>
      </c>
      <c r="J9" s="107">
        <v>35</v>
      </c>
      <c r="K9" s="105">
        <v>2</v>
      </c>
      <c r="L9" s="105">
        <v>17</v>
      </c>
      <c r="M9" s="105">
        <v>12</v>
      </c>
      <c r="N9" s="105">
        <v>125</v>
      </c>
      <c r="O9" s="105">
        <v>19</v>
      </c>
      <c r="P9" s="105">
        <v>156</v>
      </c>
      <c r="Q9" s="105">
        <v>155</v>
      </c>
      <c r="R9" s="105">
        <v>7</v>
      </c>
      <c r="S9" s="102">
        <f t="shared" si="0"/>
        <v>528</v>
      </c>
      <c r="T9" s="104">
        <v>735</v>
      </c>
      <c r="U9" s="106">
        <v>1139</v>
      </c>
    </row>
    <row r="10" spans="1:21" ht="16.5" customHeight="1" x14ac:dyDescent="0.15">
      <c r="A10" s="103" t="s">
        <v>53</v>
      </c>
      <c r="B10" s="104">
        <v>14</v>
      </c>
      <c r="C10" s="105">
        <v>38</v>
      </c>
      <c r="D10" s="105">
        <v>77</v>
      </c>
      <c r="E10" s="99"/>
      <c r="F10" s="99"/>
      <c r="G10" s="105">
        <v>2</v>
      </c>
      <c r="H10" s="99">
        <f t="shared" ref="H10:H18" si="1">SUM(B10:G10)</f>
        <v>131</v>
      </c>
      <c r="I10" s="106">
        <v>310</v>
      </c>
      <c r="J10" s="107">
        <v>61</v>
      </c>
      <c r="K10" s="105">
        <v>2</v>
      </c>
      <c r="L10" s="105">
        <v>29</v>
      </c>
      <c r="M10" s="105">
        <v>21</v>
      </c>
      <c r="N10" s="105">
        <v>165</v>
      </c>
      <c r="O10" s="105">
        <v>25</v>
      </c>
      <c r="P10" s="105">
        <v>372</v>
      </c>
      <c r="Q10" s="105">
        <v>372</v>
      </c>
      <c r="R10" s="105">
        <v>11</v>
      </c>
      <c r="S10" s="102">
        <f t="shared" si="0"/>
        <v>1058</v>
      </c>
      <c r="T10" s="104">
        <v>1044</v>
      </c>
      <c r="U10" s="106">
        <v>1571</v>
      </c>
    </row>
    <row r="11" spans="1:21" ht="16.5" customHeight="1" x14ac:dyDescent="0.15">
      <c r="A11" s="103" t="s">
        <v>54</v>
      </c>
      <c r="B11" s="104">
        <v>24</v>
      </c>
      <c r="C11" s="105">
        <v>57</v>
      </c>
      <c r="D11" s="105">
        <v>65</v>
      </c>
      <c r="E11" s="99"/>
      <c r="F11" s="99"/>
      <c r="G11" s="105">
        <v>1</v>
      </c>
      <c r="H11" s="99">
        <f t="shared" si="1"/>
        <v>147</v>
      </c>
      <c r="I11" s="106">
        <v>373</v>
      </c>
      <c r="J11" s="107">
        <v>73</v>
      </c>
      <c r="K11" s="105">
        <v>1</v>
      </c>
      <c r="L11" s="105">
        <v>26</v>
      </c>
      <c r="M11" s="105">
        <v>18</v>
      </c>
      <c r="N11" s="105">
        <v>157</v>
      </c>
      <c r="O11" s="105">
        <v>35</v>
      </c>
      <c r="P11" s="105">
        <v>843</v>
      </c>
      <c r="Q11" s="105">
        <v>862</v>
      </c>
      <c r="R11" s="105">
        <v>7</v>
      </c>
      <c r="S11" s="102">
        <f t="shared" si="0"/>
        <v>2022</v>
      </c>
      <c r="T11" s="104">
        <v>1883</v>
      </c>
      <c r="U11" s="106">
        <v>2998</v>
      </c>
    </row>
    <row r="12" spans="1:21" ht="16.5" customHeight="1" x14ac:dyDescent="0.15">
      <c r="A12" s="103" t="s">
        <v>55</v>
      </c>
      <c r="B12" s="104">
        <v>34</v>
      </c>
      <c r="C12" s="105">
        <v>34</v>
      </c>
      <c r="D12" s="105">
        <v>131</v>
      </c>
      <c r="E12" s="99"/>
      <c r="F12" s="99"/>
      <c r="G12" s="105">
        <v>4</v>
      </c>
      <c r="H12" s="99">
        <f t="shared" si="1"/>
        <v>203</v>
      </c>
      <c r="I12" s="106">
        <v>502</v>
      </c>
      <c r="J12" s="107">
        <v>64</v>
      </c>
      <c r="K12" s="105">
        <v>4</v>
      </c>
      <c r="L12" s="105">
        <v>13</v>
      </c>
      <c r="M12" s="105">
        <v>8</v>
      </c>
      <c r="N12" s="105">
        <v>85</v>
      </c>
      <c r="O12" s="105">
        <v>37</v>
      </c>
      <c r="P12" s="105">
        <v>442</v>
      </c>
      <c r="Q12" s="105">
        <v>442</v>
      </c>
      <c r="R12" s="105">
        <v>7</v>
      </c>
      <c r="S12" s="102">
        <f t="shared" si="0"/>
        <v>1102</v>
      </c>
      <c r="T12" s="104">
        <v>1275</v>
      </c>
      <c r="U12" s="106">
        <v>1833</v>
      </c>
    </row>
    <row r="13" spans="1:21" ht="16.5" customHeight="1" x14ac:dyDescent="0.15">
      <c r="A13" s="103" t="s">
        <v>27</v>
      </c>
      <c r="B13" s="104">
        <v>29</v>
      </c>
      <c r="C13" s="105">
        <v>39</v>
      </c>
      <c r="D13" s="105">
        <v>77</v>
      </c>
      <c r="E13" s="99"/>
      <c r="F13" s="99"/>
      <c r="G13" s="105">
        <v>3</v>
      </c>
      <c r="H13" s="99">
        <f t="shared" si="1"/>
        <v>148</v>
      </c>
      <c r="I13" s="106">
        <v>353</v>
      </c>
      <c r="J13" s="107">
        <v>44</v>
      </c>
      <c r="K13" s="105">
        <v>4</v>
      </c>
      <c r="L13" s="105">
        <v>34</v>
      </c>
      <c r="M13" s="105">
        <v>25</v>
      </c>
      <c r="N13" s="105">
        <v>249</v>
      </c>
      <c r="O13" s="105">
        <v>32</v>
      </c>
      <c r="P13" s="105">
        <v>242</v>
      </c>
      <c r="Q13" s="105">
        <v>242</v>
      </c>
      <c r="R13" s="105">
        <v>10</v>
      </c>
      <c r="S13" s="102">
        <f t="shared" si="0"/>
        <v>882</v>
      </c>
      <c r="T13" s="104">
        <v>863</v>
      </c>
      <c r="U13" s="106">
        <v>1305</v>
      </c>
    </row>
    <row r="14" spans="1:21" ht="16.5" customHeight="1" x14ac:dyDescent="0.15">
      <c r="A14" s="103" t="s">
        <v>28</v>
      </c>
      <c r="B14" s="104">
        <v>21</v>
      </c>
      <c r="C14" s="105">
        <v>39</v>
      </c>
      <c r="D14" s="105">
        <v>97</v>
      </c>
      <c r="E14" s="99"/>
      <c r="F14" s="99">
        <v>1</v>
      </c>
      <c r="G14" s="105"/>
      <c r="H14" s="99">
        <f t="shared" si="1"/>
        <v>158</v>
      </c>
      <c r="I14" s="106">
        <v>374</v>
      </c>
      <c r="J14" s="107">
        <v>37</v>
      </c>
      <c r="K14" s="105">
        <v>4</v>
      </c>
      <c r="L14" s="105">
        <v>20</v>
      </c>
      <c r="M14" s="105">
        <v>13</v>
      </c>
      <c r="N14" s="105">
        <v>118</v>
      </c>
      <c r="O14" s="105">
        <v>24</v>
      </c>
      <c r="P14" s="105">
        <v>287</v>
      </c>
      <c r="Q14" s="105">
        <v>286</v>
      </c>
      <c r="R14" s="105">
        <v>3</v>
      </c>
      <c r="S14" s="102">
        <f t="shared" si="0"/>
        <v>792</v>
      </c>
      <c r="T14" s="104">
        <v>1027</v>
      </c>
      <c r="U14" s="106">
        <v>1647</v>
      </c>
    </row>
    <row r="15" spans="1:21" ht="16.5" customHeight="1" x14ac:dyDescent="0.15">
      <c r="A15" s="103" t="s">
        <v>29</v>
      </c>
      <c r="B15" s="104">
        <v>35</v>
      </c>
      <c r="C15" s="105">
        <v>40</v>
      </c>
      <c r="D15" s="105">
        <v>87</v>
      </c>
      <c r="E15" s="99"/>
      <c r="F15" s="99"/>
      <c r="G15" s="105">
        <v>5</v>
      </c>
      <c r="H15" s="99">
        <f t="shared" si="1"/>
        <v>167</v>
      </c>
      <c r="I15" s="106">
        <v>386</v>
      </c>
      <c r="J15" s="107">
        <v>48</v>
      </c>
      <c r="K15" s="105">
        <v>5</v>
      </c>
      <c r="L15" s="105">
        <v>24</v>
      </c>
      <c r="M15" s="105">
        <v>8</v>
      </c>
      <c r="N15" s="105">
        <v>129</v>
      </c>
      <c r="O15" s="105">
        <v>25</v>
      </c>
      <c r="P15" s="105">
        <v>1754</v>
      </c>
      <c r="Q15" s="105">
        <v>1754</v>
      </c>
      <c r="R15" s="105">
        <v>3</v>
      </c>
      <c r="S15" s="102">
        <f t="shared" si="0"/>
        <v>3750</v>
      </c>
      <c r="T15" s="104">
        <v>2739</v>
      </c>
      <c r="U15" s="106">
        <v>5165</v>
      </c>
    </row>
    <row r="16" spans="1:21" ht="16.5" customHeight="1" x14ac:dyDescent="0.15">
      <c r="A16" s="103" t="s">
        <v>174</v>
      </c>
      <c r="B16" s="104">
        <v>33</v>
      </c>
      <c r="C16" s="105">
        <v>34</v>
      </c>
      <c r="D16" s="105">
        <v>109</v>
      </c>
      <c r="E16" s="99"/>
      <c r="F16" s="99"/>
      <c r="G16" s="105">
        <v>3</v>
      </c>
      <c r="H16" s="99">
        <f t="shared" si="1"/>
        <v>179</v>
      </c>
      <c r="I16" s="106">
        <v>450</v>
      </c>
      <c r="J16" s="107">
        <v>44</v>
      </c>
      <c r="K16" s="105">
        <v>7</v>
      </c>
      <c r="L16" s="105">
        <v>34</v>
      </c>
      <c r="M16" s="105">
        <v>24</v>
      </c>
      <c r="N16" s="105">
        <v>218</v>
      </c>
      <c r="O16" s="105">
        <v>24</v>
      </c>
      <c r="P16" s="105">
        <v>1877</v>
      </c>
      <c r="Q16" s="105">
        <v>1877</v>
      </c>
      <c r="R16" s="105">
        <v>2</v>
      </c>
      <c r="S16" s="102">
        <f t="shared" si="0"/>
        <v>4107</v>
      </c>
      <c r="T16" s="104">
        <v>3114</v>
      </c>
      <c r="U16" s="106">
        <v>6212</v>
      </c>
    </row>
    <row r="17" spans="1:21" ht="16.5" customHeight="1" x14ac:dyDescent="0.15">
      <c r="A17" s="103" t="s">
        <v>57</v>
      </c>
      <c r="B17" s="108">
        <v>37</v>
      </c>
      <c r="C17" s="109">
        <v>26</v>
      </c>
      <c r="D17" s="109">
        <v>107</v>
      </c>
      <c r="E17" s="99"/>
      <c r="F17" s="99"/>
      <c r="G17" s="109">
        <v>3</v>
      </c>
      <c r="H17" s="99">
        <f t="shared" si="1"/>
        <v>173</v>
      </c>
      <c r="I17" s="110">
        <v>407</v>
      </c>
      <c r="J17" s="107">
        <v>30</v>
      </c>
      <c r="K17" s="105">
        <v>2</v>
      </c>
      <c r="L17" s="105">
        <v>27</v>
      </c>
      <c r="M17" s="105">
        <v>16</v>
      </c>
      <c r="N17" s="105">
        <v>163</v>
      </c>
      <c r="O17" s="105">
        <v>32</v>
      </c>
      <c r="P17" s="105">
        <v>346</v>
      </c>
      <c r="Q17" s="105">
        <v>346</v>
      </c>
      <c r="R17" s="105">
        <v>2</v>
      </c>
      <c r="S17" s="102">
        <f t="shared" si="0"/>
        <v>964</v>
      </c>
      <c r="T17" s="104">
        <v>1081</v>
      </c>
      <c r="U17" s="106">
        <v>1853</v>
      </c>
    </row>
    <row r="18" spans="1:21" ht="16.5" customHeight="1" x14ac:dyDescent="0.15">
      <c r="A18" s="119" t="s">
        <v>58</v>
      </c>
      <c r="B18" s="433">
        <v>38</v>
      </c>
      <c r="C18" s="434">
        <v>65</v>
      </c>
      <c r="D18" s="434">
        <v>46</v>
      </c>
      <c r="E18" s="435"/>
      <c r="F18" s="435"/>
      <c r="G18" s="434">
        <v>3</v>
      </c>
      <c r="H18" s="99">
        <f t="shared" si="1"/>
        <v>152</v>
      </c>
      <c r="I18" s="436">
        <v>369</v>
      </c>
      <c r="J18" s="437">
        <v>36</v>
      </c>
      <c r="K18" s="435">
        <v>5</v>
      </c>
      <c r="L18" s="435">
        <v>25</v>
      </c>
      <c r="M18" s="435">
        <v>20</v>
      </c>
      <c r="N18" s="435">
        <v>153</v>
      </c>
      <c r="O18" s="435">
        <v>34</v>
      </c>
      <c r="P18" s="435">
        <v>273</v>
      </c>
      <c r="Q18" s="435">
        <v>273</v>
      </c>
      <c r="R18" s="435">
        <v>6</v>
      </c>
      <c r="S18" s="439">
        <f t="shared" si="0"/>
        <v>825</v>
      </c>
      <c r="T18" s="433">
        <v>1016</v>
      </c>
      <c r="U18" s="436">
        <v>1601</v>
      </c>
    </row>
    <row r="19" spans="1:21" ht="16.5" customHeight="1" x14ac:dyDescent="0.15">
      <c r="A19" s="391" t="s">
        <v>11</v>
      </c>
      <c r="B19" s="392">
        <f>SUM(B7:B18)</f>
        <v>339</v>
      </c>
      <c r="C19" s="393">
        <f>SUM(C7:C18)</f>
        <v>480</v>
      </c>
      <c r="D19" s="394">
        <f>SUM(D7:D18)</f>
        <v>1133</v>
      </c>
      <c r="E19" s="394">
        <v>0</v>
      </c>
      <c r="F19" s="394">
        <f>SUM(F7:F18)</f>
        <v>1</v>
      </c>
      <c r="G19" s="394">
        <f>SUM(G7:G18)</f>
        <v>31</v>
      </c>
      <c r="H19" s="394">
        <f>SUM(H7:H18)</f>
        <v>1984</v>
      </c>
      <c r="I19" s="395">
        <f>SUM(I7:I18)</f>
        <v>4844</v>
      </c>
      <c r="J19" s="396">
        <f>SUM(J7:J18)</f>
        <v>559</v>
      </c>
      <c r="K19" s="394">
        <f t="shared" ref="K19:R19" si="2">SUM(K7:K18)</f>
        <v>49</v>
      </c>
      <c r="L19" s="394">
        <f t="shared" si="2"/>
        <v>319</v>
      </c>
      <c r="M19" s="394">
        <f t="shared" si="2"/>
        <v>215</v>
      </c>
      <c r="N19" s="394">
        <f t="shared" si="2"/>
        <v>2048</v>
      </c>
      <c r="O19" s="394">
        <f t="shared" si="2"/>
        <v>343</v>
      </c>
      <c r="P19" s="394">
        <f t="shared" si="2"/>
        <v>7225</v>
      </c>
      <c r="Q19" s="394">
        <f t="shared" si="2"/>
        <v>7241</v>
      </c>
      <c r="R19" s="394">
        <f t="shared" si="2"/>
        <v>65</v>
      </c>
      <c r="S19" s="397">
        <f>SUM(S7:S18)</f>
        <v>18064</v>
      </c>
      <c r="T19" s="398">
        <f>SUM(T7:T18)</f>
        <v>16971</v>
      </c>
      <c r="U19" s="395">
        <f>SUM(U7:U18)</f>
        <v>28841</v>
      </c>
    </row>
    <row r="20" spans="1:21" ht="16.5" customHeight="1" x14ac:dyDescent="0.15">
      <c r="A20" s="111" t="s">
        <v>175</v>
      </c>
      <c r="B20" s="112">
        <v>334</v>
      </c>
      <c r="C20" s="113">
        <v>418</v>
      </c>
      <c r="D20" s="114">
        <v>981</v>
      </c>
      <c r="E20" s="114">
        <v>0</v>
      </c>
      <c r="F20" s="114">
        <v>0</v>
      </c>
      <c r="G20" s="114">
        <v>23</v>
      </c>
      <c r="H20" s="114">
        <v>1756</v>
      </c>
      <c r="I20" s="115">
        <v>4295</v>
      </c>
      <c r="J20" s="116">
        <v>593</v>
      </c>
      <c r="K20" s="114">
        <v>51</v>
      </c>
      <c r="L20" s="114">
        <v>290</v>
      </c>
      <c r="M20" s="114">
        <v>189</v>
      </c>
      <c r="N20" s="114">
        <v>1986</v>
      </c>
      <c r="O20" s="114">
        <v>323</v>
      </c>
      <c r="P20" s="114">
        <v>5139</v>
      </c>
      <c r="Q20" s="114">
        <v>5342</v>
      </c>
      <c r="R20" s="114">
        <v>70</v>
      </c>
      <c r="S20" s="117">
        <v>13983</v>
      </c>
      <c r="T20" s="118">
        <v>15389</v>
      </c>
      <c r="U20" s="115">
        <v>24878</v>
      </c>
    </row>
    <row r="21" spans="1:21" ht="16.5" customHeight="1" x14ac:dyDescent="0.15">
      <c r="A21" s="119" t="s">
        <v>219</v>
      </c>
      <c r="B21" s="120">
        <f>B19/B20</f>
        <v>1.0149700598802396</v>
      </c>
      <c r="C21" s="121">
        <f>C19/C20</f>
        <v>1.1483253588516746</v>
      </c>
      <c r="D21" s="121">
        <f>D19/D20</f>
        <v>1.1549439347604484</v>
      </c>
      <c r="E21" s="121">
        <v>0</v>
      </c>
      <c r="F21" s="121">
        <v>0</v>
      </c>
      <c r="G21" s="121">
        <f>G19/G20</f>
        <v>1.3478260869565217</v>
      </c>
      <c r="H21" s="121">
        <f>H19/H20</f>
        <v>1.1298405466970387</v>
      </c>
      <c r="I21" s="122">
        <f t="shared" ref="I21:T21" si="3">I19/I20</f>
        <v>1.1278230500582072</v>
      </c>
      <c r="J21" s="123">
        <f t="shared" si="3"/>
        <v>0.94266441821247893</v>
      </c>
      <c r="K21" s="121">
        <f t="shared" si="3"/>
        <v>0.96078431372549022</v>
      </c>
      <c r="L21" s="121">
        <f t="shared" si="3"/>
        <v>1.1000000000000001</v>
      </c>
      <c r="M21" s="121">
        <f t="shared" si="3"/>
        <v>1.1375661375661377</v>
      </c>
      <c r="N21" s="121">
        <f t="shared" si="3"/>
        <v>1.0312185297079557</v>
      </c>
      <c r="O21" s="121">
        <f t="shared" si="3"/>
        <v>1.0619195046439629</v>
      </c>
      <c r="P21" s="121">
        <f t="shared" si="3"/>
        <v>1.4059155477719401</v>
      </c>
      <c r="Q21" s="121">
        <f t="shared" si="3"/>
        <v>1.3554848371396482</v>
      </c>
      <c r="R21" s="121">
        <f t="shared" si="3"/>
        <v>0.9285714285714286</v>
      </c>
      <c r="S21" s="124">
        <f t="shared" si="3"/>
        <v>1.2918543946220411</v>
      </c>
      <c r="T21" s="120">
        <f t="shared" si="3"/>
        <v>1.102800701799987</v>
      </c>
      <c r="U21" s="122">
        <f>U19/U20</f>
        <v>1.1592973711713159</v>
      </c>
    </row>
    <row r="22" spans="1:21" s="10" customFormat="1" ht="16.5" customHeight="1" x14ac:dyDescent="0.15">
      <c r="B22" s="125"/>
      <c r="C22" s="125"/>
      <c r="D22" s="125"/>
      <c r="E22" s="125"/>
      <c r="F22" s="125"/>
      <c r="G22" s="125"/>
      <c r="H22" s="125"/>
      <c r="K22" s="125"/>
    </row>
    <row r="23" spans="1:21" s="10" customFormat="1" ht="16.5" customHeight="1" x14ac:dyDescent="0.15">
      <c r="A23" s="92" t="s">
        <v>176</v>
      </c>
      <c r="K23" s="126"/>
      <c r="L23" s="126"/>
      <c r="M23" s="126"/>
      <c r="N23" s="126"/>
      <c r="O23" s="126"/>
      <c r="P23" s="126"/>
      <c r="Q23" s="126"/>
      <c r="R23" s="126"/>
      <c r="T23" s="563" t="s">
        <v>224</v>
      </c>
      <c r="U23" s="563"/>
    </row>
    <row r="24" spans="1:21" s="10" customFormat="1" ht="16.5" customHeight="1" x14ac:dyDescent="0.15">
      <c r="A24" s="564" t="s">
        <v>14</v>
      </c>
      <c r="B24" s="567" t="s">
        <v>158</v>
      </c>
      <c r="C24" s="568"/>
      <c r="D24" s="568"/>
      <c r="E24" s="568"/>
      <c r="F24" s="568"/>
      <c r="G24" s="568"/>
      <c r="H24" s="568"/>
      <c r="I24" s="569"/>
      <c r="J24" s="567" t="s">
        <v>159</v>
      </c>
      <c r="K24" s="568"/>
      <c r="L24" s="568"/>
      <c r="M24" s="568"/>
      <c r="N24" s="568"/>
      <c r="O24" s="568"/>
      <c r="P24" s="568"/>
      <c r="Q24" s="568"/>
      <c r="R24" s="568"/>
      <c r="S24" s="569"/>
      <c r="T24" s="567" t="s">
        <v>160</v>
      </c>
      <c r="U24" s="569"/>
    </row>
    <row r="25" spans="1:21" s="10" customFormat="1" ht="16.5" customHeight="1" x14ac:dyDescent="0.15">
      <c r="A25" s="565"/>
      <c r="B25" s="570" t="s">
        <v>161</v>
      </c>
      <c r="C25" s="571"/>
      <c r="D25" s="571"/>
      <c r="E25" s="571"/>
      <c r="F25" s="571"/>
      <c r="G25" s="571"/>
      <c r="H25" s="572"/>
      <c r="I25" s="573" t="s">
        <v>162</v>
      </c>
      <c r="J25" s="575" t="s">
        <v>163</v>
      </c>
      <c r="K25" s="561" t="s">
        <v>164</v>
      </c>
      <c r="L25" s="577" t="s">
        <v>165</v>
      </c>
      <c r="M25" s="579" t="s">
        <v>166</v>
      </c>
      <c r="N25" s="561" t="s">
        <v>167</v>
      </c>
      <c r="O25" s="561" t="s">
        <v>168</v>
      </c>
      <c r="P25" s="581" t="s">
        <v>169</v>
      </c>
      <c r="Q25" s="581" t="s">
        <v>228</v>
      </c>
      <c r="R25" s="561" t="s">
        <v>170</v>
      </c>
      <c r="S25" s="573" t="s">
        <v>10</v>
      </c>
      <c r="T25" s="575" t="s">
        <v>171</v>
      </c>
      <c r="U25" s="573" t="s">
        <v>172</v>
      </c>
    </row>
    <row r="26" spans="1:21" s="10" customFormat="1" ht="24" customHeight="1" x14ac:dyDescent="0.15">
      <c r="A26" s="566"/>
      <c r="B26" s="93" t="s">
        <v>15</v>
      </c>
      <c r="C26" s="127" t="s">
        <v>16</v>
      </c>
      <c r="D26" s="94" t="s">
        <v>17</v>
      </c>
      <c r="E26" s="94"/>
      <c r="F26" s="94"/>
      <c r="G26" s="129"/>
      <c r="H26" s="94" t="s">
        <v>37</v>
      </c>
      <c r="I26" s="574"/>
      <c r="J26" s="576"/>
      <c r="K26" s="562"/>
      <c r="L26" s="578"/>
      <c r="M26" s="580"/>
      <c r="N26" s="562"/>
      <c r="O26" s="562"/>
      <c r="P26" s="582"/>
      <c r="Q26" s="582"/>
      <c r="R26" s="562"/>
      <c r="S26" s="574"/>
      <c r="T26" s="576"/>
      <c r="U26" s="574"/>
    </row>
    <row r="27" spans="1:21" s="10" customFormat="1" ht="16.5" customHeight="1" x14ac:dyDescent="0.15">
      <c r="A27" s="97" t="s">
        <v>32</v>
      </c>
      <c r="B27" s="98">
        <v>23</v>
      </c>
      <c r="C27" s="99"/>
      <c r="D27" s="99">
        <v>28</v>
      </c>
      <c r="E27" s="99"/>
      <c r="F27" s="99"/>
      <c r="G27" s="99"/>
      <c r="H27" s="105">
        <f>SUM(B27:G27)</f>
        <v>51</v>
      </c>
      <c r="I27" s="100">
        <v>91</v>
      </c>
      <c r="J27" s="101">
        <v>20</v>
      </c>
      <c r="K27" s="99">
        <v>3</v>
      </c>
      <c r="L27" s="99">
        <v>19</v>
      </c>
      <c r="M27" s="99">
        <v>10</v>
      </c>
      <c r="N27" s="99">
        <v>91</v>
      </c>
      <c r="O27" s="99">
        <v>7</v>
      </c>
      <c r="P27" s="99">
        <v>269</v>
      </c>
      <c r="Q27" s="404">
        <v>269</v>
      </c>
      <c r="R27" s="99"/>
      <c r="S27" s="102">
        <f>SUM(J27:R27)</f>
        <v>688</v>
      </c>
      <c r="T27" s="98">
        <v>486</v>
      </c>
      <c r="U27" s="100">
        <v>777</v>
      </c>
    </row>
    <row r="28" spans="1:21" s="10" customFormat="1" ht="16.5" customHeight="1" x14ac:dyDescent="0.15">
      <c r="A28" s="103" t="s">
        <v>173</v>
      </c>
      <c r="B28" s="104">
        <v>30</v>
      </c>
      <c r="C28" s="105"/>
      <c r="D28" s="105">
        <v>21</v>
      </c>
      <c r="E28" s="105"/>
      <c r="F28" s="105"/>
      <c r="G28" s="105"/>
      <c r="H28" s="105">
        <f>SUM(B28:G28)</f>
        <v>51</v>
      </c>
      <c r="I28" s="106">
        <v>82</v>
      </c>
      <c r="J28" s="107">
        <v>31</v>
      </c>
      <c r="K28" s="105">
        <v>1</v>
      </c>
      <c r="L28" s="105">
        <v>21</v>
      </c>
      <c r="M28" s="105">
        <v>11</v>
      </c>
      <c r="N28" s="105">
        <v>113</v>
      </c>
      <c r="O28" s="105">
        <v>10</v>
      </c>
      <c r="P28" s="105">
        <v>331</v>
      </c>
      <c r="Q28" s="405">
        <v>333</v>
      </c>
      <c r="R28" s="105">
        <v>1</v>
      </c>
      <c r="S28" s="102">
        <f t="shared" ref="S28:S38" si="4">SUM(J28:R28)</f>
        <v>852</v>
      </c>
      <c r="T28" s="104">
        <v>673</v>
      </c>
      <c r="U28" s="106">
        <v>1132</v>
      </c>
    </row>
    <row r="29" spans="1:21" s="10" customFormat="1" ht="16.5" customHeight="1" x14ac:dyDescent="0.15">
      <c r="A29" s="103" t="s">
        <v>52</v>
      </c>
      <c r="B29" s="104">
        <v>17</v>
      </c>
      <c r="C29" s="105"/>
      <c r="D29" s="105">
        <v>17</v>
      </c>
      <c r="E29" s="105"/>
      <c r="F29" s="105"/>
      <c r="G29" s="105"/>
      <c r="H29" s="105">
        <f>SUM(B29:G29)</f>
        <v>34</v>
      </c>
      <c r="I29" s="106">
        <v>64</v>
      </c>
      <c r="J29" s="107">
        <v>15</v>
      </c>
      <c r="K29" s="105"/>
      <c r="L29" s="105">
        <v>5</v>
      </c>
      <c r="M29" s="105">
        <v>2</v>
      </c>
      <c r="N29" s="105">
        <v>28</v>
      </c>
      <c r="O29" s="105">
        <v>10</v>
      </c>
      <c r="P29" s="105">
        <v>186</v>
      </c>
      <c r="Q29" s="405">
        <v>186</v>
      </c>
      <c r="R29" s="105">
        <v>7</v>
      </c>
      <c r="S29" s="102">
        <f t="shared" si="4"/>
        <v>439</v>
      </c>
      <c r="T29" s="104">
        <v>382</v>
      </c>
      <c r="U29" s="106">
        <v>604</v>
      </c>
    </row>
    <row r="30" spans="1:21" s="10" customFormat="1" ht="16.5" customHeight="1" x14ac:dyDescent="0.15">
      <c r="A30" s="103" t="s">
        <v>53</v>
      </c>
      <c r="B30" s="104">
        <v>28</v>
      </c>
      <c r="C30" s="105"/>
      <c r="D30" s="105">
        <v>14</v>
      </c>
      <c r="E30" s="105"/>
      <c r="F30" s="105"/>
      <c r="G30" s="105"/>
      <c r="H30" s="105">
        <f t="shared" ref="H30:H38" si="5">SUM(B30:G30)</f>
        <v>42</v>
      </c>
      <c r="I30" s="106">
        <v>69</v>
      </c>
      <c r="J30" s="107">
        <v>24</v>
      </c>
      <c r="K30" s="105">
        <v>4</v>
      </c>
      <c r="L30" s="105">
        <v>23</v>
      </c>
      <c r="M30" s="105">
        <v>13</v>
      </c>
      <c r="N30" s="105">
        <v>114</v>
      </c>
      <c r="O30" s="105">
        <v>6</v>
      </c>
      <c r="P30" s="105">
        <v>340</v>
      </c>
      <c r="Q30" s="405">
        <v>340</v>
      </c>
      <c r="R30" s="105">
        <v>4</v>
      </c>
      <c r="S30" s="102">
        <f t="shared" si="4"/>
        <v>868</v>
      </c>
      <c r="T30" s="104">
        <v>634</v>
      </c>
      <c r="U30" s="106">
        <v>1024</v>
      </c>
    </row>
    <row r="31" spans="1:21" s="10" customFormat="1" ht="16.5" customHeight="1" x14ac:dyDescent="0.15">
      <c r="A31" s="103" t="s">
        <v>54</v>
      </c>
      <c r="B31" s="104">
        <v>23</v>
      </c>
      <c r="C31" s="105"/>
      <c r="D31" s="105">
        <v>17</v>
      </c>
      <c r="E31" s="105"/>
      <c r="F31" s="105"/>
      <c r="G31" s="105"/>
      <c r="H31" s="105">
        <f t="shared" si="5"/>
        <v>40</v>
      </c>
      <c r="I31" s="106">
        <v>86</v>
      </c>
      <c r="J31" s="107">
        <v>42</v>
      </c>
      <c r="K31" s="105">
        <v>3</v>
      </c>
      <c r="L31" s="105">
        <v>25</v>
      </c>
      <c r="M31" s="105">
        <v>9</v>
      </c>
      <c r="N31" s="105">
        <v>92</v>
      </c>
      <c r="O31" s="105">
        <v>5</v>
      </c>
      <c r="P31" s="105">
        <v>552</v>
      </c>
      <c r="Q31" s="405">
        <v>551</v>
      </c>
      <c r="R31" s="105">
        <v>5</v>
      </c>
      <c r="S31" s="102">
        <f t="shared" si="4"/>
        <v>1284</v>
      </c>
      <c r="T31" s="104">
        <v>813</v>
      </c>
      <c r="U31" s="106">
        <v>1204</v>
      </c>
    </row>
    <row r="32" spans="1:21" s="10" customFormat="1" ht="16.5" customHeight="1" x14ac:dyDescent="0.15">
      <c r="A32" s="103" t="s">
        <v>55</v>
      </c>
      <c r="B32" s="104">
        <v>18</v>
      </c>
      <c r="C32" s="105"/>
      <c r="D32" s="105">
        <v>19</v>
      </c>
      <c r="E32" s="105"/>
      <c r="F32" s="105"/>
      <c r="G32" s="105"/>
      <c r="H32" s="105">
        <f t="shared" si="5"/>
        <v>37</v>
      </c>
      <c r="I32" s="106">
        <v>65</v>
      </c>
      <c r="J32" s="107">
        <v>32</v>
      </c>
      <c r="K32" s="105">
        <v>3</v>
      </c>
      <c r="L32" s="105">
        <v>14</v>
      </c>
      <c r="M32" s="105">
        <v>8</v>
      </c>
      <c r="N32" s="105">
        <v>97</v>
      </c>
      <c r="O32" s="105">
        <v>10</v>
      </c>
      <c r="P32" s="105">
        <v>300</v>
      </c>
      <c r="Q32" s="405">
        <v>300</v>
      </c>
      <c r="R32" s="105">
        <v>2</v>
      </c>
      <c r="S32" s="102">
        <f t="shared" si="4"/>
        <v>766</v>
      </c>
      <c r="T32" s="104">
        <v>535</v>
      </c>
      <c r="U32" s="106">
        <v>901</v>
      </c>
    </row>
    <row r="33" spans="1:21" s="10" customFormat="1" ht="16.5" customHeight="1" x14ac:dyDescent="0.15">
      <c r="A33" s="103" t="s">
        <v>27</v>
      </c>
      <c r="B33" s="104">
        <v>27</v>
      </c>
      <c r="C33" s="105"/>
      <c r="D33" s="105">
        <v>17</v>
      </c>
      <c r="E33" s="105"/>
      <c r="F33" s="105"/>
      <c r="G33" s="105"/>
      <c r="H33" s="105">
        <f t="shared" si="5"/>
        <v>44</v>
      </c>
      <c r="I33" s="106">
        <v>65</v>
      </c>
      <c r="J33" s="107">
        <v>20</v>
      </c>
      <c r="K33" s="105"/>
      <c r="L33" s="105">
        <v>13</v>
      </c>
      <c r="M33" s="105">
        <v>5</v>
      </c>
      <c r="N33" s="105">
        <v>54</v>
      </c>
      <c r="O33" s="105">
        <v>16</v>
      </c>
      <c r="P33" s="105">
        <v>200</v>
      </c>
      <c r="Q33" s="405">
        <v>202</v>
      </c>
      <c r="R33" s="105">
        <v>3</v>
      </c>
      <c r="S33" s="102">
        <f t="shared" si="4"/>
        <v>513</v>
      </c>
      <c r="T33" s="104">
        <v>393</v>
      </c>
      <c r="U33" s="106">
        <v>657</v>
      </c>
    </row>
    <row r="34" spans="1:21" s="10" customFormat="1" ht="16.5" customHeight="1" x14ac:dyDescent="0.15">
      <c r="A34" s="103" t="s">
        <v>28</v>
      </c>
      <c r="B34" s="104">
        <v>21</v>
      </c>
      <c r="C34" s="105"/>
      <c r="D34" s="105">
        <v>18</v>
      </c>
      <c r="E34" s="105"/>
      <c r="F34" s="105"/>
      <c r="G34" s="105"/>
      <c r="H34" s="105">
        <f t="shared" si="5"/>
        <v>39</v>
      </c>
      <c r="I34" s="106">
        <v>65</v>
      </c>
      <c r="J34" s="107">
        <v>24</v>
      </c>
      <c r="K34" s="105">
        <v>3</v>
      </c>
      <c r="L34" s="105">
        <v>19</v>
      </c>
      <c r="M34" s="105">
        <v>10</v>
      </c>
      <c r="N34" s="105">
        <v>75</v>
      </c>
      <c r="O34" s="105">
        <v>8</v>
      </c>
      <c r="P34" s="105">
        <v>306</v>
      </c>
      <c r="Q34" s="405">
        <v>306</v>
      </c>
      <c r="R34" s="105">
        <v>6</v>
      </c>
      <c r="S34" s="102">
        <f t="shared" si="4"/>
        <v>757</v>
      </c>
      <c r="T34" s="104">
        <v>548</v>
      </c>
      <c r="U34" s="106">
        <v>1059</v>
      </c>
    </row>
    <row r="35" spans="1:21" s="10" customFormat="1" ht="16.5" customHeight="1" x14ac:dyDescent="0.15">
      <c r="A35" s="103" t="s">
        <v>29</v>
      </c>
      <c r="B35" s="104">
        <v>35</v>
      </c>
      <c r="C35" s="105"/>
      <c r="D35" s="105">
        <v>17</v>
      </c>
      <c r="E35" s="105"/>
      <c r="F35" s="105"/>
      <c r="G35" s="105"/>
      <c r="H35" s="105">
        <f t="shared" si="5"/>
        <v>52</v>
      </c>
      <c r="I35" s="106">
        <v>79</v>
      </c>
      <c r="J35" s="107">
        <v>31</v>
      </c>
      <c r="K35" s="105">
        <v>3</v>
      </c>
      <c r="L35" s="105">
        <v>29</v>
      </c>
      <c r="M35" s="105">
        <v>13</v>
      </c>
      <c r="N35" s="105">
        <v>164</v>
      </c>
      <c r="O35" s="105">
        <v>9</v>
      </c>
      <c r="P35" s="105">
        <v>1522</v>
      </c>
      <c r="Q35" s="405">
        <v>1525</v>
      </c>
      <c r="R35" s="105">
        <v>9</v>
      </c>
      <c r="S35" s="102">
        <f t="shared" si="4"/>
        <v>3305</v>
      </c>
      <c r="T35" s="104">
        <v>1779</v>
      </c>
      <c r="U35" s="106">
        <v>3691</v>
      </c>
    </row>
    <row r="36" spans="1:21" s="10" customFormat="1" ht="16.5" customHeight="1" x14ac:dyDescent="0.15">
      <c r="A36" s="103" t="s">
        <v>174</v>
      </c>
      <c r="B36" s="104">
        <v>56</v>
      </c>
      <c r="C36" s="105"/>
      <c r="D36" s="105">
        <v>16</v>
      </c>
      <c r="E36" s="105"/>
      <c r="F36" s="105"/>
      <c r="G36" s="105"/>
      <c r="H36" s="105">
        <f t="shared" si="5"/>
        <v>72</v>
      </c>
      <c r="I36" s="106">
        <v>106</v>
      </c>
      <c r="J36" s="107">
        <v>29</v>
      </c>
      <c r="K36" s="105"/>
      <c r="L36" s="105">
        <v>26</v>
      </c>
      <c r="M36" s="105">
        <v>11</v>
      </c>
      <c r="N36" s="105">
        <v>88</v>
      </c>
      <c r="O36" s="105">
        <v>10</v>
      </c>
      <c r="P36" s="105">
        <v>1800</v>
      </c>
      <c r="Q36" s="405">
        <v>1799</v>
      </c>
      <c r="R36" s="105">
        <v>5</v>
      </c>
      <c r="S36" s="102">
        <f t="shared" si="4"/>
        <v>3768</v>
      </c>
      <c r="T36" s="104">
        <v>2154</v>
      </c>
      <c r="U36" s="106">
        <v>4097</v>
      </c>
    </row>
    <row r="37" spans="1:21" s="10" customFormat="1" ht="16.5" customHeight="1" x14ac:dyDescent="0.15">
      <c r="A37" s="103" t="s">
        <v>57</v>
      </c>
      <c r="B37" s="108">
        <v>27</v>
      </c>
      <c r="C37" s="109"/>
      <c r="D37" s="109">
        <v>15</v>
      </c>
      <c r="E37" s="109"/>
      <c r="F37" s="105"/>
      <c r="G37" s="109"/>
      <c r="H37" s="105">
        <f t="shared" si="5"/>
        <v>42</v>
      </c>
      <c r="I37" s="110">
        <v>60</v>
      </c>
      <c r="J37" s="107">
        <v>22</v>
      </c>
      <c r="K37" s="105">
        <v>1</v>
      </c>
      <c r="L37" s="105">
        <v>13</v>
      </c>
      <c r="M37" s="105">
        <v>3</v>
      </c>
      <c r="N37" s="105">
        <v>47</v>
      </c>
      <c r="O37" s="105">
        <v>10</v>
      </c>
      <c r="P37" s="105">
        <v>361</v>
      </c>
      <c r="Q37" s="405">
        <v>362</v>
      </c>
      <c r="R37" s="105">
        <v>3</v>
      </c>
      <c r="S37" s="102">
        <f t="shared" si="4"/>
        <v>822</v>
      </c>
      <c r="T37" s="104">
        <v>590</v>
      </c>
      <c r="U37" s="106">
        <v>1061</v>
      </c>
    </row>
    <row r="38" spans="1:21" s="10" customFormat="1" ht="16.5" customHeight="1" x14ac:dyDescent="0.15">
      <c r="A38" s="119" t="s">
        <v>58</v>
      </c>
      <c r="B38" s="433">
        <v>22</v>
      </c>
      <c r="C38" s="434"/>
      <c r="D38" s="434">
        <v>15</v>
      </c>
      <c r="E38" s="434"/>
      <c r="F38" s="435"/>
      <c r="G38" s="434"/>
      <c r="H38" s="435">
        <f t="shared" si="5"/>
        <v>37</v>
      </c>
      <c r="I38" s="436">
        <v>59</v>
      </c>
      <c r="J38" s="437">
        <v>18</v>
      </c>
      <c r="K38" s="435">
        <v>1</v>
      </c>
      <c r="L38" s="435">
        <v>21</v>
      </c>
      <c r="M38" s="435">
        <v>10</v>
      </c>
      <c r="N38" s="435">
        <v>107</v>
      </c>
      <c r="O38" s="435">
        <v>10</v>
      </c>
      <c r="P38" s="435">
        <v>233</v>
      </c>
      <c r="Q38" s="438">
        <v>233</v>
      </c>
      <c r="R38" s="435">
        <v>3</v>
      </c>
      <c r="S38" s="439">
        <f t="shared" si="4"/>
        <v>636</v>
      </c>
      <c r="T38" s="433">
        <v>481</v>
      </c>
      <c r="U38" s="436">
        <v>855</v>
      </c>
    </row>
    <row r="39" spans="1:21" s="10" customFormat="1" ht="16.5" customHeight="1" x14ac:dyDescent="0.15">
      <c r="A39" s="382" t="s">
        <v>11</v>
      </c>
      <c r="B39" s="383">
        <f>SUM(B27:B38)</f>
        <v>327</v>
      </c>
      <c r="C39" s="469" t="s">
        <v>325</v>
      </c>
      <c r="D39" s="385">
        <f>SUM(D27:D38)</f>
        <v>214</v>
      </c>
      <c r="E39" s="385"/>
      <c r="F39" s="384"/>
      <c r="G39" s="384"/>
      <c r="H39" s="384">
        <f t="shared" ref="H39:T39" si="6">SUM(H27:H38)</f>
        <v>541</v>
      </c>
      <c r="I39" s="386">
        <f t="shared" si="6"/>
        <v>891</v>
      </c>
      <c r="J39" s="387">
        <f t="shared" si="6"/>
        <v>308</v>
      </c>
      <c r="K39" s="384">
        <f t="shared" si="6"/>
        <v>22</v>
      </c>
      <c r="L39" s="384">
        <f t="shared" si="6"/>
        <v>228</v>
      </c>
      <c r="M39" s="384">
        <f t="shared" si="6"/>
        <v>105</v>
      </c>
      <c r="N39" s="384">
        <f t="shared" si="6"/>
        <v>1070</v>
      </c>
      <c r="O39" s="384">
        <f t="shared" si="6"/>
        <v>111</v>
      </c>
      <c r="P39" s="384">
        <f t="shared" si="6"/>
        <v>6400</v>
      </c>
      <c r="Q39" s="384">
        <f t="shared" si="6"/>
        <v>6406</v>
      </c>
      <c r="R39" s="384">
        <f t="shared" si="6"/>
        <v>48</v>
      </c>
      <c r="S39" s="388">
        <f t="shared" si="6"/>
        <v>14698</v>
      </c>
      <c r="T39" s="389">
        <f t="shared" si="6"/>
        <v>9468</v>
      </c>
      <c r="U39" s="386">
        <f>SUM(U27:U38)</f>
        <v>17062</v>
      </c>
    </row>
    <row r="40" spans="1:21" s="10" customFormat="1" ht="16.5" customHeight="1" x14ac:dyDescent="0.15">
      <c r="A40" s="111" t="s">
        <v>175</v>
      </c>
      <c r="B40" s="112">
        <v>233</v>
      </c>
      <c r="C40" s="113">
        <v>2</v>
      </c>
      <c r="D40" s="113">
        <v>212</v>
      </c>
      <c r="E40" s="113"/>
      <c r="F40" s="114"/>
      <c r="G40" s="114"/>
      <c r="H40" s="114">
        <v>447</v>
      </c>
      <c r="I40" s="115">
        <v>766</v>
      </c>
      <c r="J40" s="116">
        <v>319</v>
      </c>
      <c r="K40" s="114">
        <v>30</v>
      </c>
      <c r="L40" s="114">
        <v>234</v>
      </c>
      <c r="M40" s="114">
        <v>113</v>
      </c>
      <c r="N40" s="114">
        <v>1270</v>
      </c>
      <c r="O40" s="114">
        <v>99</v>
      </c>
      <c r="P40" s="114">
        <v>5005</v>
      </c>
      <c r="Q40" s="468">
        <v>5265</v>
      </c>
      <c r="R40" s="114">
        <v>29</v>
      </c>
      <c r="S40" s="117">
        <v>12364</v>
      </c>
      <c r="T40" s="118">
        <v>9478</v>
      </c>
      <c r="U40" s="115">
        <v>16708</v>
      </c>
    </row>
    <row r="41" spans="1:21" s="10" customFormat="1" ht="16.5" customHeight="1" x14ac:dyDescent="0.15">
      <c r="A41" s="119" t="s">
        <v>219</v>
      </c>
      <c r="B41" s="120">
        <f>B39/B40</f>
        <v>1.4034334763948497</v>
      </c>
      <c r="C41" s="120">
        <f>0/C40</f>
        <v>0</v>
      </c>
      <c r="D41" s="121">
        <f t="shared" ref="D41:U41" si="7">D39/D40</f>
        <v>1.0094339622641511</v>
      </c>
      <c r="E41" s="121"/>
      <c r="F41" s="121"/>
      <c r="G41" s="121"/>
      <c r="H41" s="121">
        <f t="shared" si="7"/>
        <v>1.2102908277404922</v>
      </c>
      <c r="I41" s="122">
        <f>I39/I40</f>
        <v>1.1631853785900783</v>
      </c>
      <c r="J41" s="123">
        <f t="shared" si="7"/>
        <v>0.96551724137931039</v>
      </c>
      <c r="K41" s="121">
        <f t="shared" si="7"/>
        <v>0.73333333333333328</v>
      </c>
      <c r="L41" s="121">
        <f t="shared" si="7"/>
        <v>0.97435897435897434</v>
      </c>
      <c r="M41" s="121">
        <f t="shared" si="7"/>
        <v>0.92920353982300885</v>
      </c>
      <c r="N41" s="121">
        <f t="shared" si="7"/>
        <v>0.84251968503937003</v>
      </c>
      <c r="O41" s="121">
        <f t="shared" si="7"/>
        <v>1.1212121212121211</v>
      </c>
      <c r="P41" s="121">
        <f t="shared" si="7"/>
        <v>1.2787212787212787</v>
      </c>
      <c r="Q41" s="121">
        <f t="shared" si="7"/>
        <v>1.2167141500474834</v>
      </c>
      <c r="R41" s="121">
        <f t="shared" si="7"/>
        <v>1.6551724137931034</v>
      </c>
      <c r="S41" s="124">
        <f t="shared" si="7"/>
        <v>1.1887738595923649</v>
      </c>
      <c r="T41" s="120">
        <f t="shared" si="7"/>
        <v>0.99894492508968136</v>
      </c>
      <c r="U41" s="122">
        <f t="shared" si="7"/>
        <v>1.021187455111324</v>
      </c>
    </row>
    <row r="42" spans="1:21" s="10" customFormat="1" ht="16.5" customHeight="1" x14ac:dyDescent="0.15">
      <c r="B42" s="125"/>
      <c r="C42" s="125"/>
      <c r="D42" s="125"/>
      <c r="E42" s="125"/>
      <c r="F42" s="125"/>
      <c r="G42" s="125"/>
      <c r="H42" s="125"/>
      <c r="I42" s="125"/>
      <c r="J42" s="125"/>
    </row>
    <row r="43" spans="1:21" s="10" customFormat="1" ht="16.5" customHeight="1" x14ac:dyDescent="0.15">
      <c r="A43" s="92" t="s">
        <v>177</v>
      </c>
      <c r="O43" s="563" t="s">
        <v>224</v>
      </c>
      <c r="P43" s="563"/>
      <c r="Q43" s="563"/>
      <c r="R43" s="563"/>
      <c r="S43" s="563"/>
      <c r="T43" s="563"/>
      <c r="U43" s="563"/>
    </row>
    <row r="44" spans="1:21" s="10" customFormat="1" ht="16.5" customHeight="1" x14ac:dyDescent="0.15">
      <c r="A44" s="564" t="s">
        <v>14</v>
      </c>
      <c r="B44" s="567" t="s">
        <v>178</v>
      </c>
      <c r="C44" s="568"/>
      <c r="D44" s="568"/>
      <c r="E44" s="568"/>
      <c r="F44" s="568"/>
      <c r="G44" s="568"/>
      <c r="H44" s="568"/>
      <c r="I44" s="569"/>
      <c r="J44" s="567" t="s">
        <v>159</v>
      </c>
      <c r="K44" s="568"/>
      <c r="L44" s="568"/>
      <c r="M44" s="568"/>
      <c r="N44" s="568"/>
      <c r="O44" s="568"/>
      <c r="P44" s="568"/>
      <c r="Q44" s="568"/>
      <c r="R44" s="568"/>
      <c r="S44" s="569"/>
      <c r="T44" s="567" t="s">
        <v>160</v>
      </c>
      <c r="U44" s="569"/>
    </row>
    <row r="45" spans="1:21" s="10" customFormat="1" ht="16.5" customHeight="1" x14ac:dyDescent="0.15">
      <c r="A45" s="565"/>
      <c r="B45" s="570" t="s">
        <v>161</v>
      </c>
      <c r="C45" s="571"/>
      <c r="D45" s="571"/>
      <c r="E45" s="571"/>
      <c r="F45" s="571"/>
      <c r="G45" s="571"/>
      <c r="H45" s="572"/>
      <c r="I45" s="573" t="s">
        <v>162</v>
      </c>
      <c r="J45" s="575" t="s">
        <v>163</v>
      </c>
      <c r="K45" s="561" t="s">
        <v>164</v>
      </c>
      <c r="L45" s="577" t="s">
        <v>165</v>
      </c>
      <c r="M45" s="579" t="s">
        <v>166</v>
      </c>
      <c r="N45" s="561" t="s">
        <v>167</v>
      </c>
      <c r="O45" s="561" t="s">
        <v>168</v>
      </c>
      <c r="P45" s="581" t="s">
        <v>169</v>
      </c>
      <c r="Q45" s="581" t="s">
        <v>228</v>
      </c>
      <c r="R45" s="561" t="s">
        <v>170</v>
      </c>
      <c r="S45" s="573" t="s">
        <v>10</v>
      </c>
      <c r="T45" s="575" t="s">
        <v>171</v>
      </c>
      <c r="U45" s="573" t="s">
        <v>172</v>
      </c>
    </row>
    <row r="46" spans="1:21" s="10" customFormat="1" ht="24" customHeight="1" x14ac:dyDescent="0.15">
      <c r="A46" s="566"/>
      <c r="B46" s="130" t="s">
        <v>16</v>
      </c>
      <c r="C46" s="128" t="s">
        <v>179</v>
      </c>
      <c r="D46" s="127"/>
      <c r="E46" s="94"/>
      <c r="F46" s="94"/>
      <c r="G46" s="129"/>
      <c r="H46" s="94" t="s">
        <v>37</v>
      </c>
      <c r="I46" s="574"/>
      <c r="J46" s="576"/>
      <c r="K46" s="562"/>
      <c r="L46" s="578"/>
      <c r="M46" s="580"/>
      <c r="N46" s="562"/>
      <c r="O46" s="562"/>
      <c r="P46" s="582"/>
      <c r="Q46" s="582"/>
      <c r="R46" s="562"/>
      <c r="S46" s="574"/>
      <c r="T46" s="576"/>
      <c r="U46" s="574"/>
    </row>
    <row r="47" spans="1:21" s="10" customFormat="1" ht="16.5" customHeight="1" x14ac:dyDescent="0.15">
      <c r="A47" s="131" t="s">
        <v>32</v>
      </c>
      <c r="B47" s="101">
        <v>24</v>
      </c>
      <c r="C47" s="99"/>
      <c r="D47" s="99"/>
      <c r="E47" s="99"/>
      <c r="F47" s="99"/>
      <c r="G47" s="99"/>
      <c r="H47" s="99">
        <f t="shared" ref="H47:H49" si="8">+B47</f>
        <v>24</v>
      </c>
      <c r="I47" s="100">
        <v>33</v>
      </c>
      <c r="J47" s="101">
        <v>20</v>
      </c>
      <c r="K47" s="99">
        <v>10</v>
      </c>
      <c r="L47" s="99">
        <v>34</v>
      </c>
      <c r="M47" s="99">
        <v>29</v>
      </c>
      <c r="N47" s="99">
        <v>238</v>
      </c>
      <c r="O47" s="99">
        <v>2</v>
      </c>
      <c r="P47" s="99">
        <v>169</v>
      </c>
      <c r="Q47" s="404">
        <v>169</v>
      </c>
      <c r="R47" s="99">
        <v>77</v>
      </c>
      <c r="S47" s="102">
        <f>SUM(J47:R47)</f>
        <v>748</v>
      </c>
      <c r="T47" s="98">
        <v>938</v>
      </c>
      <c r="U47" s="100">
        <v>1399</v>
      </c>
    </row>
    <row r="48" spans="1:21" s="10" customFormat="1" ht="16.5" customHeight="1" x14ac:dyDescent="0.15">
      <c r="A48" s="132" t="s">
        <v>173</v>
      </c>
      <c r="B48" s="107">
        <v>27</v>
      </c>
      <c r="C48" s="105"/>
      <c r="D48" s="105"/>
      <c r="E48" s="105"/>
      <c r="F48" s="105"/>
      <c r="G48" s="105"/>
      <c r="H48" s="99">
        <f t="shared" si="8"/>
        <v>27</v>
      </c>
      <c r="I48" s="106">
        <v>34</v>
      </c>
      <c r="J48" s="107">
        <v>18</v>
      </c>
      <c r="K48" s="105">
        <v>14</v>
      </c>
      <c r="L48" s="105">
        <v>30</v>
      </c>
      <c r="M48" s="105">
        <v>23</v>
      </c>
      <c r="N48" s="105">
        <v>219</v>
      </c>
      <c r="O48" s="105">
        <v>5</v>
      </c>
      <c r="P48" s="105">
        <v>107</v>
      </c>
      <c r="Q48" s="405">
        <v>107</v>
      </c>
      <c r="R48" s="105">
        <v>144</v>
      </c>
      <c r="S48" s="102">
        <f t="shared" ref="S48:S58" si="9">SUM(J48:R48)</f>
        <v>667</v>
      </c>
      <c r="T48" s="104">
        <v>905</v>
      </c>
      <c r="U48" s="106">
        <v>1458</v>
      </c>
    </row>
    <row r="49" spans="1:21" s="10" customFormat="1" ht="16.5" customHeight="1" x14ac:dyDescent="0.15">
      <c r="A49" s="132" t="s">
        <v>52</v>
      </c>
      <c r="B49" s="107">
        <v>26</v>
      </c>
      <c r="C49" s="105"/>
      <c r="D49" s="105"/>
      <c r="E49" s="105"/>
      <c r="F49" s="105"/>
      <c r="G49" s="105"/>
      <c r="H49" s="99">
        <f t="shared" si="8"/>
        <v>26</v>
      </c>
      <c r="I49" s="106">
        <v>31</v>
      </c>
      <c r="J49" s="107">
        <v>16</v>
      </c>
      <c r="K49" s="105">
        <v>5</v>
      </c>
      <c r="L49" s="105">
        <v>28</v>
      </c>
      <c r="M49" s="105">
        <v>23</v>
      </c>
      <c r="N49" s="105">
        <v>209</v>
      </c>
      <c r="O49" s="105">
        <v>3</v>
      </c>
      <c r="P49" s="105">
        <v>40</v>
      </c>
      <c r="Q49" s="405">
        <v>41</v>
      </c>
      <c r="R49" s="105">
        <v>108</v>
      </c>
      <c r="S49" s="102">
        <f t="shared" si="9"/>
        <v>473</v>
      </c>
      <c r="T49" s="104">
        <v>918</v>
      </c>
      <c r="U49" s="106">
        <v>1326</v>
      </c>
    </row>
    <row r="50" spans="1:21" s="10" customFormat="1" ht="16.5" customHeight="1" x14ac:dyDescent="0.15">
      <c r="A50" s="132" t="s">
        <v>53</v>
      </c>
      <c r="B50" s="107">
        <v>25</v>
      </c>
      <c r="C50" s="105"/>
      <c r="D50" s="105"/>
      <c r="E50" s="105"/>
      <c r="F50" s="105"/>
      <c r="G50" s="105"/>
      <c r="H50" s="99">
        <f>+B50</f>
        <v>25</v>
      </c>
      <c r="I50" s="106">
        <v>30</v>
      </c>
      <c r="J50" s="107">
        <v>9</v>
      </c>
      <c r="K50" s="105">
        <v>4</v>
      </c>
      <c r="L50" s="105">
        <v>38</v>
      </c>
      <c r="M50" s="105">
        <v>33</v>
      </c>
      <c r="N50" s="105">
        <v>223</v>
      </c>
      <c r="O50" s="105">
        <v>1</v>
      </c>
      <c r="P50" s="105">
        <v>80</v>
      </c>
      <c r="Q50" s="405">
        <v>80</v>
      </c>
      <c r="R50" s="105">
        <v>112</v>
      </c>
      <c r="S50" s="102">
        <f t="shared" si="9"/>
        <v>580</v>
      </c>
      <c r="T50" s="104">
        <v>1061</v>
      </c>
      <c r="U50" s="106">
        <v>1613</v>
      </c>
    </row>
    <row r="51" spans="1:21" s="10" customFormat="1" ht="16.5" customHeight="1" x14ac:dyDescent="0.15">
      <c r="A51" s="132" t="s">
        <v>54</v>
      </c>
      <c r="B51" s="107">
        <v>26</v>
      </c>
      <c r="C51" s="105"/>
      <c r="D51" s="105"/>
      <c r="E51" s="105"/>
      <c r="F51" s="105"/>
      <c r="G51" s="105"/>
      <c r="H51" s="99">
        <f t="shared" ref="H51:H58" si="10">+B51</f>
        <v>26</v>
      </c>
      <c r="I51" s="106">
        <v>34</v>
      </c>
      <c r="J51" s="107">
        <v>18</v>
      </c>
      <c r="K51" s="105">
        <v>11</v>
      </c>
      <c r="L51" s="105">
        <v>41</v>
      </c>
      <c r="M51" s="105">
        <v>38</v>
      </c>
      <c r="N51" s="105">
        <v>241</v>
      </c>
      <c r="O51" s="105">
        <v>4</v>
      </c>
      <c r="P51" s="105">
        <v>224</v>
      </c>
      <c r="Q51" s="405">
        <v>224</v>
      </c>
      <c r="R51" s="105">
        <v>202</v>
      </c>
      <c r="S51" s="102">
        <f t="shared" si="9"/>
        <v>1003</v>
      </c>
      <c r="T51" s="104">
        <v>1500</v>
      </c>
      <c r="U51" s="106">
        <v>2335</v>
      </c>
    </row>
    <row r="52" spans="1:21" s="10" customFormat="1" ht="16.5" customHeight="1" x14ac:dyDescent="0.15">
      <c r="A52" s="132" t="s">
        <v>55</v>
      </c>
      <c r="B52" s="107">
        <v>37</v>
      </c>
      <c r="C52" s="105"/>
      <c r="D52" s="105"/>
      <c r="E52" s="105"/>
      <c r="F52" s="105"/>
      <c r="G52" s="105"/>
      <c r="H52" s="99">
        <f t="shared" si="10"/>
        <v>37</v>
      </c>
      <c r="I52" s="106">
        <v>49</v>
      </c>
      <c r="J52" s="107">
        <v>9</v>
      </c>
      <c r="K52" s="105">
        <v>5</v>
      </c>
      <c r="L52" s="105">
        <v>41</v>
      </c>
      <c r="M52" s="105">
        <v>36</v>
      </c>
      <c r="N52" s="105">
        <v>240</v>
      </c>
      <c r="O52" s="105">
        <v>2</v>
      </c>
      <c r="P52" s="105">
        <v>126</v>
      </c>
      <c r="Q52" s="406">
        <v>126</v>
      </c>
      <c r="R52" s="105">
        <v>85</v>
      </c>
      <c r="S52" s="102">
        <f t="shared" si="9"/>
        <v>670</v>
      </c>
      <c r="T52" s="104">
        <v>991</v>
      </c>
      <c r="U52" s="106">
        <v>1537</v>
      </c>
    </row>
    <row r="53" spans="1:21" s="10" customFormat="1" ht="16.5" customHeight="1" x14ac:dyDescent="0.15">
      <c r="A53" s="132" t="s">
        <v>27</v>
      </c>
      <c r="B53" s="107">
        <v>43</v>
      </c>
      <c r="C53" s="105"/>
      <c r="D53" s="105"/>
      <c r="E53" s="105"/>
      <c r="F53" s="105"/>
      <c r="G53" s="105"/>
      <c r="H53" s="99">
        <f t="shared" si="10"/>
        <v>43</v>
      </c>
      <c r="I53" s="106">
        <v>49</v>
      </c>
      <c r="J53" s="107">
        <v>10</v>
      </c>
      <c r="K53" s="105">
        <v>4</v>
      </c>
      <c r="L53" s="105">
        <v>27</v>
      </c>
      <c r="M53" s="105">
        <v>22</v>
      </c>
      <c r="N53" s="105">
        <v>153</v>
      </c>
      <c r="O53" s="105">
        <v>4</v>
      </c>
      <c r="P53" s="105">
        <v>86</v>
      </c>
      <c r="Q53" s="405">
        <v>86</v>
      </c>
      <c r="R53" s="105">
        <v>116</v>
      </c>
      <c r="S53" s="102">
        <f t="shared" si="9"/>
        <v>508</v>
      </c>
      <c r="T53" s="104">
        <v>1016</v>
      </c>
      <c r="U53" s="106">
        <v>1579</v>
      </c>
    </row>
    <row r="54" spans="1:21" s="10" customFormat="1" ht="16.5" customHeight="1" x14ac:dyDescent="0.15">
      <c r="A54" s="132" t="s">
        <v>28</v>
      </c>
      <c r="B54" s="107">
        <v>40</v>
      </c>
      <c r="C54" s="105"/>
      <c r="D54" s="105"/>
      <c r="E54" s="105"/>
      <c r="F54" s="105"/>
      <c r="G54" s="105"/>
      <c r="H54" s="99">
        <f t="shared" si="10"/>
        <v>40</v>
      </c>
      <c r="I54" s="106">
        <v>47</v>
      </c>
      <c r="J54" s="107">
        <v>16</v>
      </c>
      <c r="K54" s="105">
        <v>5</v>
      </c>
      <c r="L54" s="105">
        <v>35</v>
      </c>
      <c r="M54" s="105">
        <v>29</v>
      </c>
      <c r="N54" s="105">
        <v>191</v>
      </c>
      <c r="O54" s="105">
        <v>1</v>
      </c>
      <c r="P54" s="105">
        <v>167</v>
      </c>
      <c r="Q54" s="105">
        <v>167</v>
      </c>
      <c r="R54" s="105">
        <v>127</v>
      </c>
      <c r="S54" s="102">
        <f t="shared" si="9"/>
        <v>738</v>
      </c>
      <c r="T54" s="104">
        <v>1018</v>
      </c>
      <c r="U54" s="106">
        <v>1686</v>
      </c>
    </row>
    <row r="55" spans="1:21" s="10" customFormat="1" ht="16.5" customHeight="1" x14ac:dyDescent="0.15">
      <c r="A55" s="132" t="s">
        <v>29</v>
      </c>
      <c r="B55" s="107">
        <v>35</v>
      </c>
      <c r="C55" s="105"/>
      <c r="D55" s="105"/>
      <c r="E55" s="105"/>
      <c r="F55" s="105"/>
      <c r="G55" s="105"/>
      <c r="H55" s="99">
        <f t="shared" si="10"/>
        <v>35</v>
      </c>
      <c r="I55" s="106">
        <v>48</v>
      </c>
      <c r="J55" s="107">
        <v>14</v>
      </c>
      <c r="K55" s="105">
        <v>4</v>
      </c>
      <c r="L55" s="105">
        <v>45</v>
      </c>
      <c r="M55" s="105">
        <v>38</v>
      </c>
      <c r="N55" s="105">
        <v>277</v>
      </c>
      <c r="O55" s="105">
        <v>2</v>
      </c>
      <c r="P55" s="105">
        <v>974</v>
      </c>
      <c r="Q55" s="105">
        <v>974</v>
      </c>
      <c r="R55" s="105">
        <v>109</v>
      </c>
      <c r="S55" s="102">
        <f t="shared" si="9"/>
        <v>2437</v>
      </c>
      <c r="T55" s="104">
        <v>2097</v>
      </c>
      <c r="U55" s="106">
        <v>4072</v>
      </c>
    </row>
    <row r="56" spans="1:21" s="10" customFormat="1" ht="16.5" customHeight="1" x14ac:dyDescent="0.15">
      <c r="A56" s="132" t="s">
        <v>174</v>
      </c>
      <c r="B56" s="107">
        <v>46</v>
      </c>
      <c r="C56" s="105"/>
      <c r="D56" s="105"/>
      <c r="E56" s="105"/>
      <c r="F56" s="105"/>
      <c r="G56" s="105"/>
      <c r="H56" s="99">
        <f t="shared" si="10"/>
        <v>46</v>
      </c>
      <c r="I56" s="106">
        <v>57</v>
      </c>
      <c r="J56" s="107">
        <v>9</v>
      </c>
      <c r="K56" s="105">
        <v>4</v>
      </c>
      <c r="L56" s="105">
        <v>43</v>
      </c>
      <c r="M56" s="105">
        <v>40</v>
      </c>
      <c r="N56" s="105">
        <v>342</v>
      </c>
      <c r="O56" s="105"/>
      <c r="P56" s="105">
        <v>940</v>
      </c>
      <c r="Q56" s="105">
        <v>940</v>
      </c>
      <c r="R56" s="105">
        <v>89</v>
      </c>
      <c r="S56" s="102">
        <f t="shared" si="9"/>
        <v>2407</v>
      </c>
      <c r="T56" s="104">
        <v>1966</v>
      </c>
      <c r="U56" s="106">
        <v>3732</v>
      </c>
    </row>
    <row r="57" spans="1:21" s="10" customFormat="1" ht="16.5" customHeight="1" x14ac:dyDescent="0.15">
      <c r="A57" s="132" t="s">
        <v>57</v>
      </c>
      <c r="B57" s="107">
        <v>30</v>
      </c>
      <c r="C57" s="109"/>
      <c r="D57" s="109"/>
      <c r="E57" s="105"/>
      <c r="F57" s="105"/>
      <c r="G57" s="109"/>
      <c r="H57" s="99">
        <f t="shared" si="10"/>
        <v>30</v>
      </c>
      <c r="I57" s="110">
        <v>37</v>
      </c>
      <c r="J57" s="107">
        <v>14</v>
      </c>
      <c r="K57" s="105">
        <v>3</v>
      </c>
      <c r="L57" s="105">
        <v>27</v>
      </c>
      <c r="M57" s="105">
        <v>24</v>
      </c>
      <c r="N57" s="105">
        <v>190</v>
      </c>
      <c r="O57" s="105">
        <v>5</v>
      </c>
      <c r="P57" s="105">
        <v>219</v>
      </c>
      <c r="Q57" s="105">
        <v>219</v>
      </c>
      <c r="R57" s="105">
        <v>50</v>
      </c>
      <c r="S57" s="102">
        <f t="shared" si="9"/>
        <v>751</v>
      </c>
      <c r="T57" s="104">
        <v>831</v>
      </c>
      <c r="U57" s="106">
        <v>1362</v>
      </c>
    </row>
    <row r="58" spans="1:21" s="10" customFormat="1" ht="16.5" customHeight="1" x14ac:dyDescent="0.15">
      <c r="A58" s="325" t="s">
        <v>58</v>
      </c>
      <c r="B58" s="437">
        <v>30</v>
      </c>
      <c r="C58" s="434"/>
      <c r="D58" s="434"/>
      <c r="E58" s="435"/>
      <c r="F58" s="435"/>
      <c r="G58" s="434"/>
      <c r="H58" s="435">
        <f t="shared" si="10"/>
        <v>30</v>
      </c>
      <c r="I58" s="436">
        <v>36</v>
      </c>
      <c r="J58" s="437">
        <v>11</v>
      </c>
      <c r="K58" s="435">
        <v>5</v>
      </c>
      <c r="L58" s="435">
        <v>21</v>
      </c>
      <c r="M58" s="435">
        <v>15</v>
      </c>
      <c r="N58" s="435">
        <v>163</v>
      </c>
      <c r="O58" s="435">
        <v>4</v>
      </c>
      <c r="P58" s="435">
        <v>143</v>
      </c>
      <c r="Q58" s="435">
        <v>143</v>
      </c>
      <c r="R58" s="435">
        <v>50</v>
      </c>
      <c r="S58" s="439">
        <f t="shared" si="9"/>
        <v>555</v>
      </c>
      <c r="T58" s="433">
        <v>910</v>
      </c>
      <c r="U58" s="436">
        <v>1473</v>
      </c>
    </row>
    <row r="59" spans="1:21" s="10" customFormat="1" ht="16.5" customHeight="1" x14ac:dyDescent="0.15">
      <c r="A59" s="390" t="s">
        <v>11</v>
      </c>
      <c r="B59" s="387">
        <f>SUM(B47:B58)</f>
        <v>389</v>
      </c>
      <c r="C59" s="385"/>
      <c r="D59" s="384"/>
      <c r="E59" s="384"/>
      <c r="F59" s="384"/>
      <c r="G59" s="384"/>
      <c r="H59" s="384">
        <f>SUM(H47:H58)</f>
        <v>389</v>
      </c>
      <c r="I59" s="386">
        <f>SUM(I47:I58)</f>
        <v>485</v>
      </c>
      <c r="J59" s="387">
        <f>SUM(J47:J58)</f>
        <v>164</v>
      </c>
      <c r="K59" s="384">
        <f>SUM(K47:K58)</f>
        <v>74</v>
      </c>
      <c r="L59" s="384">
        <f t="shared" ref="L59:T59" si="11">SUM(L47:L58)</f>
        <v>410</v>
      </c>
      <c r="M59" s="384">
        <f t="shared" si="11"/>
        <v>350</v>
      </c>
      <c r="N59" s="384">
        <f t="shared" si="11"/>
        <v>2686</v>
      </c>
      <c r="O59" s="384">
        <f t="shared" si="11"/>
        <v>33</v>
      </c>
      <c r="P59" s="384">
        <f t="shared" si="11"/>
        <v>3275</v>
      </c>
      <c r="Q59" s="384">
        <f t="shared" si="11"/>
        <v>3276</v>
      </c>
      <c r="R59" s="384">
        <f t="shared" si="11"/>
        <v>1269</v>
      </c>
      <c r="S59" s="388">
        <f t="shared" si="11"/>
        <v>11537</v>
      </c>
      <c r="T59" s="389">
        <f t="shared" si="11"/>
        <v>14151</v>
      </c>
      <c r="U59" s="386">
        <f>SUM(U47:U58)</f>
        <v>23572</v>
      </c>
    </row>
    <row r="60" spans="1:21" s="10" customFormat="1" ht="16.5" customHeight="1" x14ac:dyDescent="0.15">
      <c r="A60" s="133" t="s">
        <v>175</v>
      </c>
      <c r="B60" s="116">
        <v>249</v>
      </c>
      <c r="C60" s="113"/>
      <c r="D60" s="114"/>
      <c r="E60" s="114"/>
      <c r="F60" s="114"/>
      <c r="G60" s="114"/>
      <c r="H60" s="114">
        <v>249</v>
      </c>
      <c r="I60" s="115">
        <v>302</v>
      </c>
      <c r="J60" s="116">
        <v>167</v>
      </c>
      <c r="K60" s="114">
        <v>72</v>
      </c>
      <c r="L60" s="114">
        <v>357</v>
      </c>
      <c r="M60" s="114">
        <v>302</v>
      </c>
      <c r="N60" s="114">
        <v>2248</v>
      </c>
      <c r="O60" s="114">
        <v>35</v>
      </c>
      <c r="P60" s="114">
        <v>5719</v>
      </c>
      <c r="Q60" s="404">
        <v>3256</v>
      </c>
      <c r="R60" s="114">
        <v>768</v>
      </c>
      <c r="S60" s="117">
        <v>12924</v>
      </c>
      <c r="T60" s="118">
        <v>19019</v>
      </c>
      <c r="U60" s="115">
        <v>31622</v>
      </c>
    </row>
    <row r="61" spans="1:21" s="10" customFormat="1" ht="16.5" customHeight="1" x14ac:dyDescent="0.15">
      <c r="A61" s="325" t="s">
        <v>219</v>
      </c>
      <c r="B61" s="123">
        <f>B59/B60</f>
        <v>1.5622489959839359</v>
      </c>
      <c r="C61" s="121"/>
      <c r="D61" s="121"/>
      <c r="E61" s="121"/>
      <c r="F61" s="121"/>
      <c r="G61" s="121"/>
      <c r="H61" s="121">
        <f>H59/H60</f>
        <v>1.5622489959839359</v>
      </c>
      <c r="I61" s="122">
        <f t="shared" ref="I61:U61" si="12">I59/I60</f>
        <v>1.6059602649006623</v>
      </c>
      <c r="J61" s="123">
        <f t="shared" si="12"/>
        <v>0.98203592814371254</v>
      </c>
      <c r="K61" s="121">
        <f t="shared" si="12"/>
        <v>1.0277777777777777</v>
      </c>
      <c r="L61" s="121">
        <f t="shared" si="12"/>
        <v>1.1484593837535013</v>
      </c>
      <c r="M61" s="121">
        <f t="shared" si="12"/>
        <v>1.1589403973509933</v>
      </c>
      <c r="N61" s="121">
        <f t="shared" si="12"/>
        <v>1.1948398576512456</v>
      </c>
      <c r="O61" s="121">
        <f t="shared" si="12"/>
        <v>0.94285714285714284</v>
      </c>
      <c r="P61" s="121">
        <f>P59/P60</f>
        <v>0.57265256163664979</v>
      </c>
      <c r="Q61" s="121">
        <f>Q59/Q60</f>
        <v>1.0061425061425062</v>
      </c>
      <c r="R61" s="121">
        <f t="shared" si="12"/>
        <v>1.65234375</v>
      </c>
      <c r="S61" s="124">
        <f t="shared" si="12"/>
        <v>0.89268028474156613</v>
      </c>
      <c r="T61" s="120">
        <f t="shared" si="12"/>
        <v>0.74404542825595454</v>
      </c>
      <c r="U61" s="122">
        <f t="shared" si="12"/>
        <v>0.74543039655935739</v>
      </c>
    </row>
  </sheetData>
  <mergeCells count="57">
    <mergeCell ref="T3:U3"/>
    <mergeCell ref="A4:A6"/>
    <mergeCell ref="B4:I4"/>
    <mergeCell ref="J4:S4"/>
    <mergeCell ref="T4:U4"/>
    <mergeCell ref="B5:H5"/>
    <mergeCell ref="I5:I6"/>
    <mergeCell ref="J5:J6"/>
    <mergeCell ref="K5:K6"/>
    <mergeCell ref="L5:L6"/>
    <mergeCell ref="S5:S6"/>
    <mergeCell ref="T5:T6"/>
    <mergeCell ref="U5:U6"/>
    <mergeCell ref="M5:M6"/>
    <mergeCell ref="N5:N6"/>
    <mergeCell ref="O5:O6"/>
    <mergeCell ref="A24:A26"/>
    <mergeCell ref="B24:I24"/>
    <mergeCell ref="J24:S24"/>
    <mergeCell ref="T24:U24"/>
    <mergeCell ref="B25:H25"/>
    <mergeCell ref="I25:I26"/>
    <mergeCell ref="R5:R6"/>
    <mergeCell ref="U25:U26"/>
    <mergeCell ref="J25:J26"/>
    <mergeCell ref="K25:K26"/>
    <mergeCell ref="L25:L26"/>
    <mergeCell ref="M25:M26"/>
    <mergeCell ref="N25:N26"/>
    <mergeCell ref="O25:O26"/>
    <mergeCell ref="P25:P26"/>
    <mergeCell ref="Q25:Q26"/>
    <mergeCell ref="R25:R26"/>
    <mergeCell ref="S25:S26"/>
    <mergeCell ref="T25:T26"/>
    <mergeCell ref="T23:U23"/>
    <mergeCell ref="O45:O46"/>
    <mergeCell ref="P5:P6"/>
    <mergeCell ref="Q5:Q6"/>
    <mergeCell ref="P45:P46"/>
    <mergeCell ref="Q45:Q46"/>
    <mergeCell ref="R45:R46"/>
    <mergeCell ref="O43:U43"/>
    <mergeCell ref="A44:A46"/>
    <mergeCell ref="B44:I44"/>
    <mergeCell ref="J44:S44"/>
    <mergeCell ref="T44:U44"/>
    <mergeCell ref="B45:H45"/>
    <mergeCell ref="I45:I46"/>
    <mergeCell ref="J45:J46"/>
    <mergeCell ref="K45:K46"/>
    <mergeCell ref="L45:L46"/>
    <mergeCell ref="S45:S46"/>
    <mergeCell ref="T45:T46"/>
    <mergeCell ref="U45:U46"/>
    <mergeCell ref="M45:M46"/>
    <mergeCell ref="N45:N46"/>
  </mergeCells>
  <phoneticPr fontId="11"/>
  <pageMargins left="0.70866141732283472" right="0.70866141732283472" top="0.74803149606299213" bottom="0.35433070866141736" header="0.31496062992125984" footer="0.31496062992125984"/>
  <pageSetup paperSize="9" scale="7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/>
  </sheetPr>
  <dimension ref="A1:AD49"/>
  <sheetViews>
    <sheetView zoomScale="76" zoomScaleNormal="76" workbookViewId="0"/>
  </sheetViews>
  <sheetFormatPr defaultColWidth="9" defaultRowHeight="13.5" x14ac:dyDescent="0.15"/>
  <cols>
    <col min="1" max="1" width="1.875" style="482" customWidth="1"/>
    <col min="2" max="2" width="5.625" style="530" customWidth="1"/>
    <col min="3" max="3" width="7.625" style="480" customWidth="1"/>
    <col min="4" max="10" width="8.5" style="480" customWidth="1"/>
    <col min="11" max="11" width="8.5" style="533" customWidth="1"/>
    <col min="12" max="12" width="8.5" style="480" customWidth="1"/>
    <col min="13" max="13" width="2" style="480" customWidth="1"/>
    <col min="14" max="14" width="5.625" style="479" customWidth="1"/>
    <col min="15" max="15" width="7.625" style="480" customWidth="1"/>
    <col min="16" max="24" width="8.5" style="480" customWidth="1"/>
    <col min="25" max="26" width="8.375" style="480" customWidth="1"/>
    <col min="27" max="28" width="7.625" style="482" hidden="1" customWidth="1"/>
    <col min="29" max="29" width="1.75" style="482" hidden="1" customWidth="1"/>
    <col min="30" max="16384" width="9" style="482"/>
  </cols>
  <sheetData>
    <row r="1" spans="1:26" ht="16.5" customHeight="1" x14ac:dyDescent="0.15">
      <c r="A1" s="475"/>
      <c r="B1" s="476" t="s">
        <v>239</v>
      </c>
      <c r="C1" s="477"/>
      <c r="D1" s="477"/>
      <c r="E1" s="477"/>
      <c r="F1" s="477"/>
      <c r="G1" s="477"/>
      <c r="H1" s="478"/>
      <c r="I1" s="478"/>
      <c r="J1" s="596" t="s">
        <v>130</v>
      </c>
      <c r="K1" s="596"/>
      <c r="L1" s="596"/>
      <c r="M1" s="478"/>
      <c r="S1" s="481"/>
      <c r="T1" s="481"/>
      <c r="U1" s="481"/>
      <c r="V1" s="597" t="s">
        <v>5</v>
      </c>
      <c r="W1" s="597"/>
      <c r="X1" s="597"/>
      <c r="Y1" s="482"/>
      <c r="Z1" s="482"/>
    </row>
    <row r="2" spans="1:26" ht="15.75" customHeight="1" x14ac:dyDescent="0.15">
      <c r="A2" s="483"/>
      <c r="B2" s="598" t="s">
        <v>14</v>
      </c>
      <c r="C2" s="599"/>
      <c r="D2" s="602" t="s">
        <v>30</v>
      </c>
      <c r="E2" s="603"/>
      <c r="F2" s="604"/>
      <c r="G2" s="602" t="s">
        <v>8</v>
      </c>
      <c r="H2" s="603"/>
      <c r="I2" s="604"/>
      <c r="J2" s="605" t="s">
        <v>134</v>
      </c>
      <c r="K2" s="605"/>
      <c r="L2" s="606"/>
      <c r="M2" s="479"/>
      <c r="N2" s="598" t="s">
        <v>14</v>
      </c>
      <c r="O2" s="599"/>
      <c r="P2" s="602" t="s">
        <v>30</v>
      </c>
      <c r="Q2" s="603"/>
      <c r="R2" s="604"/>
      <c r="S2" s="602" t="s">
        <v>8</v>
      </c>
      <c r="T2" s="603"/>
      <c r="U2" s="603"/>
      <c r="V2" s="609" t="s">
        <v>134</v>
      </c>
      <c r="W2" s="605"/>
      <c r="X2" s="606"/>
      <c r="Y2" s="482"/>
      <c r="Z2" s="482"/>
    </row>
    <row r="3" spans="1:26" ht="15.75" customHeight="1" x14ac:dyDescent="0.15">
      <c r="A3" s="483"/>
      <c r="B3" s="600"/>
      <c r="C3" s="601"/>
      <c r="D3" s="485" t="s">
        <v>321</v>
      </c>
      <c r="E3" s="485" t="s">
        <v>234</v>
      </c>
      <c r="F3" s="484" t="s">
        <v>6</v>
      </c>
      <c r="G3" s="485" t="s">
        <v>327</v>
      </c>
      <c r="H3" s="485" t="s">
        <v>328</v>
      </c>
      <c r="I3" s="485" t="s">
        <v>222</v>
      </c>
      <c r="J3" s="485" t="s">
        <v>327</v>
      </c>
      <c r="K3" s="485" t="s">
        <v>328</v>
      </c>
      <c r="L3" s="486" t="s">
        <v>222</v>
      </c>
      <c r="M3" s="479"/>
      <c r="N3" s="607"/>
      <c r="O3" s="608"/>
      <c r="P3" s="485" t="s">
        <v>327</v>
      </c>
      <c r="Q3" s="485" t="s">
        <v>328</v>
      </c>
      <c r="R3" s="485" t="s">
        <v>222</v>
      </c>
      <c r="S3" s="485" t="s">
        <v>327</v>
      </c>
      <c r="T3" s="485" t="s">
        <v>328</v>
      </c>
      <c r="U3" s="485" t="s">
        <v>222</v>
      </c>
      <c r="V3" s="485" t="s">
        <v>327</v>
      </c>
      <c r="W3" s="485" t="s">
        <v>328</v>
      </c>
      <c r="X3" s="486" t="s">
        <v>222</v>
      </c>
      <c r="Y3" s="482"/>
      <c r="Z3" s="482"/>
    </row>
    <row r="4" spans="1:26" ht="15.75" customHeight="1" x14ac:dyDescent="0.15">
      <c r="A4" s="487"/>
      <c r="B4" s="592" t="s">
        <v>32</v>
      </c>
      <c r="C4" s="488" t="s">
        <v>13</v>
      </c>
      <c r="D4" s="489">
        <v>553</v>
      </c>
      <c r="E4" s="489">
        <v>545</v>
      </c>
      <c r="F4" s="490">
        <v>8</v>
      </c>
      <c r="G4" s="491">
        <v>214</v>
      </c>
      <c r="H4" s="491">
        <v>275</v>
      </c>
      <c r="I4" s="491">
        <v>-61</v>
      </c>
      <c r="J4" s="492">
        <v>227</v>
      </c>
      <c r="K4" s="492">
        <v>271</v>
      </c>
      <c r="L4" s="492">
        <v>-44</v>
      </c>
      <c r="M4" s="493"/>
      <c r="N4" s="595" t="s">
        <v>33</v>
      </c>
      <c r="O4" s="494" t="s">
        <v>13</v>
      </c>
      <c r="P4" s="489">
        <v>527</v>
      </c>
      <c r="Q4" s="489">
        <v>625</v>
      </c>
      <c r="R4" s="490">
        <v>-98</v>
      </c>
      <c r="S4" s="491">
        <v>185</v>
      </c>
      <c r="T4" s="491">
        <v>247</v>
      </c>
      <c r="U4" s="495">
        <v>-62</v>
      </c>
      <c r="V4" s="496">
        <v>234</v>
      </c>
      <c r="W4" s="496">
        <v>408</v>
      </c>
      <c r="X4" s="496">
        <v>-174</v>
      </c>
      <c r="Y4" s="482"/>
      <c r="Z4" s="482"/>
    </row>
    <row r="5" spans="1:26" ht="15.75" customHeight="1" x14ac:dyDescent="0.15">
      <c r="A5" s="487"/>
      <c r="B5" s="593"/>
      <c r="C5" s="497" t="s">
        <v>34</v>
      </c>
      <c r="D5" s="498">
        <v>52</v>
      </c>
      <c r="E5" s="498">
        <v>50</v>
      </c>
      <c r="F5" s="499">
        <v>2</v>
      </c>
      <c r="G5" s="500">
        <v>36</v>
      </c>
      <c r="H5" s="500">
        <v>23</v>
      </c>
      <c r="I5" s="500">
        <v>13</v>
      </c>
      <c r="J5" s="499">
        <v>58</v>
      </c>
      <c r="K5" s="499">
        <v>57</v>
      </c>
      <c r="L5" s="499">
        <v>1</v>
      </c>
      <c r="M5" s="493"/>
      <c r="N5" s="590"/>
      <c r="O5" s="501" t="s">
        <v>34</v>
      </c>
      <c r="P5" s="498">
        <v>80</v>
      </c>
      <c r="Q5" s="498">
        <v>63</v>
      </c>
      <c r="R5" s="499">
        <v>17</v>
      </c>
      <c r="S5" s="500">
        <v>39</v>
      </c>
      <c r="T5" s="500">
        <v>44</v>
      </c>
      <c r="U5" s="502">
        <v>-5</v>
      </c>
      <c r="V5" s="503">
        <v>75</v>
      </c>
      <c r="W5" s="503">
        <v>95</v>
      </c>
      <c r="X5" s="503">
        <v>-20</v>
      </c>
      <c r="Y5" s="482"/>
      <c r="Z5" s="482"/>
    </row>
    <row r="6" spans="1:26" ht="15.75" customHeight="1" x14ac:dyDescent="0.15">
      <c r="A6" s="487"/>
      <c r="B6" s="593"/>
      <c r="C6" s="497" t="s">
        <v>35</v>
      </c>
      <c r="D6" s="498">
        <v>485</v>
      </c>
      <c r="E6" s="498">
        <v>412</v>
      </c>
      <c r="F6" s="499">
        <v>73</v>
      </c>
      <c r="G6" s="500">
        <v>371</v>
      </c>
      <c r="H6" s="500">
        <v>367</v>
      </c>
      <c r="I6" s="500">
        <v>4</v>
      </c>
      <c r="J6" s="499">
        <v>634</v>
      </c>
      <c r="K6" s="499">
        <v>597</v>
      </c>
      <c r="L6" s="499">
        <v>37</v>
      </c>
      <c r="M6" s="493"/>
      <c r="N6" s="590"/>
      <c r="O6" s="501" t="s">
        <v>35</v>
      </c>
      <c r="P6" s="498">
        <v>505</v>
      </c>
      <c r="Q6" s="498">
        <v>514</v>
      </c>
      <c r="R6" s="499">
        <v>-9</v>
      </c>
      <c r="S6" s="500">
        <v>305</v>
      </c>
      <c r="T6" s="500">
        <v>347</v>
      </c>
      <c r="U6" s="502">
        <v>-42</v>
      </c>
      <c r="V6" s="503">
        <v>768</v>
      </c>
      <c r="W6" s="503">
        <v>912</v>
      </c>
      <c r="X6" s="503">
        <v>-144</v>
      </c>
      <c r="Y6" s="482"/>
      <c r="Z6" s="482"/>
    </row>
    <row r="7" spans="1:26" ht="15.75" customHeight="1" x14ac:dyDescent="0.15">
      <c r="A7" s="487"/>
      <c r="B7" s="593"/>
      <c r="C7" s="504" t="s">
        <v>36</v>
      </c>
      <c r="D7" s="505">
        <v>58</v>
      </c>
      <c r="E7" s="505">
        <v>70</v>
      </c>
      <c r="F7" s="506">
        <v>-12</v>
      </c>
      <c r="G7" s="507" t="s">
        <v>180</v>
      </c>
      <c r="H7" s="507" t="s">
        <v>180</v>
      </c>
      <c r="I7" s="507" t="s">
        <v>180</v>
      </c>
      <c r="J7" s="506">
        <v>274</v>
      </c>
      <c r="K7" s="506">
        <v>218</v>
      </c>
      <c r="L7" s="506">
        <v>56</v>
      </c>
      <c r="M7" s="493"/>
      <c r="N7" s="590"/>
      <c r="O7" s="508" t="s">
        <v>36</v>
      </c>
      <c r="P7" s="505">
        <v>76</v>
      </c>
      <c r="Q7" s="505">
        <v>93</v>
      </c>
      <c r="R7" s="506">
        <v>-17</v>
      </c>
      <c r="S7" s="507" t="s">
        <v>180</v>
      </c>
      <c r="T7" s="507" t="s">
        <v>180</v>
      </c>
      <c r="U7" s="509" t="s">
        <v>180</v>
      </c>
      <c r="V7" s="510">
        <v>285</v>
      </c>
      <c r="W7" s="510">
        <v>388</v>
      </c>
      <c r="X7" s="510">
        <v>-103</v>
      </c>
      <c r="Y7" s="482"/>
      <c r="Z7" s="482"/>
    </row>
    <row r="8" spans="1:26" ht="15.75" customHeight="1" x14ac:dyDescent="0.15">
      <c r="A8" s="487"/>
      <c r="B8" s="593"/>
      <c r="C8" s="511" t="s">
        <v>37</v>
      </c>
      <c r="D8" s="512">
        <v>1148</v>
      </c>
      <c r="E8" s="512">
        <v>1077</v>
      </c>
      <c r="F8" s="513">
        <v>71</v>
      </c>
      <c r="G8" s="513">
        <v>621</v>
      </c>
      <c r="H8" s="513">
        <v>665</v>
      </c>
      <c r="I8" s="513">
        <v>-44</v>
      </c>
      <c r="J8" s="512">
        <v>1193</v>
      </c>
      <c r="K8" s="512">
        <v>1143</v>
      </c>
      <c r="L8" s="513">
        <v>50</v>
      </c>
      <c r="M8" s="493"/>
      <c r="N8" s="590"/>
      <c r="O8" s="514" t="s">
        <v>37</v>
      </c>
      <c r="P8" s="512">
        <v>1188</v>
      </c>
      <c r="Q8" s="512">
        <v>1295</v>
      </c>
      <c r="R8" s="513">
        <v>-107</v>
      </c>
      <c r="S8" s="513">
        <v>529</v>
      </c>
      <c r="T8" s="513">
        <v>638</v>
      </c>
      <c r="U8" s="513">
        <v>-109</v>
      </c>
      <c r="V8" s="515">
        <v>1362</v>
      </c>
      <c r="W8" s="515">
        <v>1803</v>
      </c>
      <c r="X8" s="515">
        <v>-441</v>
      </c>
      <c r="Y8" s="482"/>
      <c r="Z8" s="482"/>
    </row>
    <row r="9" spans="1:26" ht="15.75" customHeight="1" x14ac:dyDescent="0.15">
      <c r="A9" s="516"/>
      <c r="B9" s="594"/>
      <c r="C9" s="517" t="s">
        <v>31</v>
      </c>
      <c r="D9" s="518">
        <v>32</v>
      </c>
      <c r="E9" s="518">
        <v>33</v>
      </c>
      <c r="F9" s="519">
        <v>-1</v>
      </c>
      <c r="G9" s="518">
        <v>14</v>
      </c>
      <c r="H9" s="518">
        <v>11</v>
      </c>
      <c r="I9" s="519">
        <v>3</v>
      </c>
      <c r="J9" s="520">
        <v>28</v>
      </c>
      <c r="K9" s="520">
        <v>21</v>
      </c>
      <c r="L9" s="519">
        <v>7</v>
      </c>
      <c r="M9" s="493"/>
      <c r="N9" s="591"/>
      <c r="O9" s="521" t="s">
        <v>31</v>
      </c>
      <c r="P9" s="518">
        <v>43</v>
      </c>
      <c r="Q9" s="518">
        <v>34</v>
      </c>
      <c r="R9" s="518">
        <v>9</v>
      </c>
      <c r="S9" s="518">
        <v>7</v>
      </c>
      <c r="T9" s="518">
        <v>10</v>
      </c>
      <c r="U9" s="519">
        <v>-3</v>
      </c>
      <c r="V9" s="520">
        <v>32</v>
      </c>
      <c r="W9" s="520">
        <v>35</v>
      </c>
      <c r="X9" s="519">
        <v>-3</v>
      </c>
      <c r="Y9" s="482"/>
      <c r="Z9" s="482"/>
    </row>
    <row r="10" spans="1:26" ht="15.75" customHeight="1" x14ac:dyDescent="0.15">
      <c r="A10" s="487"/>
      <c r="B10" s="592" t="s">
        <v>38</v>
      </c>
      <c r="C10" s="488" t="s">
        <v>13</v>
      </c>
      <c r="D10" s="489">
        <v>1088</v>
      </c>
      <c r="E10" s="489">
        <v>927</v>
      </c>
      <c r="F10" s="490">
        <v>161</v>
      </c>
      <c r="G10" s="491">
        <v>433</v>
      </c>
      <c r="H10" s="491">
        <v>445</v>
      </c>
      <c r="I10" s="491">
        <v>-12</v>
      </c>
      <c r="J10" s="492">
        <v>362</v>
      </c>
      <c r="K10" s="492">
        <v>462</v>
      </c>
      <c r="L10" s="492">
        <v>-100</v>
      </c>
      <c r="M10" s="493"/>
      <c r="N10" s="590" t="s">
        <v>39</v>
      </c>
      <c r="O10" s="494" t="s">
        <v>13</v>
      </c>
      <c r="P10" s="489">
        <v>759</v>
      </c>
      <c r="Q10" s="489">
        <v>702</v>
      </c>
      <c r="R10" s="490">
        <v>57</v>
      </c>
      <c r="S10" s="491">
        <v>313</v>
      </c>
      <c r="T10" s="491">
        <v>422</v>
      </c>
      <c r="U10" s="495">
        <v>-109</v>
      </c>
      <c r="V10" s="496">
        <v>305</v>
      </c>
      <c r="W10" s="496">
        <v>568</v>
      </c>
      <c r="X10" s="496">
        <v>-263</v>
      </c>
      <c r="Y10" s="482"/>
      <c r="Z10" s="482"/>
    </row>
    <row r="11" spans="1:26" ht="15.75" customHeight="1" x14ac:dyDescent="0.15">
      <c r="A11" s="487"/>
      <c r="B11" s="593"/>
      <c r="C11" s="497" t="s">
        <v>34</v>
      </c>
      <c r="D11" s="498">
        <v>38</v>
      </c>
      <c r="E11" s="498">
        <v>63</v>
      </c>
      <c r="F11" s="499">
        <v>-25</v>
      </c>
      <c r="G11" s="500">
        <v>16</v>
      </c>
      <c r="H11" s="500">
        <v>43</v>
      </c>
      <c r="I11" s="500">
        <v>-27</v>
      </c>
      <c r="J11" s="499">
        <v>35</v>
      </c>
      <c r="K11" s="499">
        <v>105</v>
      </c>
      <c r="L11" s="499">
        <v>-70</v>
      </c>
      <c r="M11" s="493"/>
      <c r="N11" s="590"/>
      <c r="O11" s="501" t="s">
        <v>34</v>
      </c>
      <c r="P11" s="498">
        <v>72</v>
      </c>
      <c r="Q11" s="498">
        <v>68</v>
      </c>
      <c r="R11" s="499">
        <v>4</v>
      </c>
      <c r="S11" s="500">
        <v>35</v>
      </c>
      <c r="T11" s="500">
        <v>63</v>
      </c>
      <c r="U11" s="502">
        <v>-28</v>
      </c>
      <c r="V11" s="503">
        <v>55</v>
      </c>
      <c r="W11" s="503">
        <v>168</v>
      </c>
      <c r="X11" s="503">
        <v>-113</v>
      </c>
      <c r="Y11" s="482"/>
      <c r="Z11" s="482"/>
    </row>
    <row r="12" spans="1:26" ht="15.75" customHeight="1" x14ac:dyDescent="0.15">
      <c r="A12" s="487"/>
      <c r="B12" s="593"/>
      <c r="C12" s="497" t="s">
        <v>35</v>
      </c>
      <c r="D12" s="498">
        <v>512</v>
      </c>
      <c r="E12" s="498">
        <v>585</v>
      </c>
      <c r="F12" s="499">
        <v>-73</v>
      </c>
      <c r="G12" s="500">
        <v>384</v>
      </c>
      <c r="H12" s="500">
        <v>437</v>
      </c>
      <c r="I12" s="500">
        <v>-53</v>
      </c>
      <c r="J12" s="499">
        <v>790</v>
      </c>
      <c r="K12" s="499">
        <v>913</v>
      </c>
      <c r="L12" s="499">
        <v>-123</v>
      </c>
      <c r="M12" s="493"/>
      <c r="N12" s="590"/>
      <c r="O12" s="501" t="s">
        <v>35</v>
      </c>
      <c r="P12" s="498">
        <v>460</v>
      </c>
      <c r="Q12" s="498">
        <v>602</v>
      </c>
      <c r="R12" s="499">
        <v>-142</v>
      </c>
      <c r="S12" s="500">
        <v>306</v>
      </c>
      <c r="T12" s="500">
        <v>414</v>
      </c>
      <c r="U12" s="502">
        <v>-108</v>
      </c>
      <c r="V12" s="503">
        <v>698</v>
      </c>
      <c r="W12" s="503">
        <v>1108</v>
      </c>
      <c r="X12" s="503">
        <v>-410</v>
      </c>
      <c r="Y12" s="482"/>
      <c r="Z12" s="482"/>
    </row>
    <row r="13" spans="1:26" ht="15.75" customHeight="1" x14ac:dyDescent="0.15">
      <c r="A13" s="487"/>
      <c r="B13" s="593"/>
      <c r="C13" s="504" t="s">
        <v>36</v>
      </c>
      <c r="D13" s="505">
        <v>49</v>
      </c>
      <c r="E13" s="505">
        <v>81</v>
      </c>
      <c r="F13" s="506">
        <v>-32</v>
      </c>
      <c r="G13" s="507" t="s">
        <v>180</v>
      </c>
      <c r="H13" s="507" t="s">
        <v>180</v>
      </c>
      <c r="I13" s="507" t="s">
        <v>180</v>
      </c>
      <c r="J13" s="506">
        <v>325</v>
      </c>
      <c r="K13" s="506">
        <v>325</v>
      </c>
      <c r="L13" s="506">
        <v>0</v>
      </c>
      <c r="M13" s="493"/>
      <c r="N13" s="590"/>
      <c r="O13" s="508" t="s">
        <v>36</v>
      </c>
      <c r="P13" s="505">
        <v>52</v>
      </c>
      <c r="Q13" s="505">
        <v>92</v>
      </c>
      <c r="R13" s="506">
        <v>-40</v>
      </c>
      <c r="S13" s="507" t="s">
        <v>180</v>
      </c>
      <c r="T13" s="507" t="s">
        <v>180</v>
      </c>
      <c r="U13" s="509" t="s">
        <v>180</v>
      </c>
      <c r="V13" s="510">
        <v>266</v>
      </c>
      <c r="W13" s="510">
        <v>364</v>
      </c>
      <c r="X13" s="510">
        <v>-98</v>
      </c>
      <c r="Y13" s="482"/>
      <c r="Z13" s="482"/>
    </row>
    <row r="14" spans="1:26" ht="15.75" customHeight="1" x14ac:dyDescent="0.15">
      <c r="A14" s="487"/>
      <c r="B14" s="593"/>
      <c r="C14" s="511" t="s">
        <v>37</v>
      </c>
      <c r="D14" s="512">
        <v>1687</v>
      </c>
      <c r="E14" s="512">
        <v>1656</v>
      </c>
      <c r="F14" s="513">
        <v>31</v>
      </c>
      <c r="G14" s="513">
        <v>833</v>
      </c>
      <c r="H14" s="513">
        <v>925</v>
      </c>
      <c r="I14" s="513">
        <v>-92</v>
      </c>
      <c r="J14" s="512">
        <v>1512</v>
      </c>
      <c r="K14" s="512">
        <v>1805</v>
      </c>
      <c r="L14" s="522">
        <v>-293</v>
      </c>
      <c r="M14" s="493"/>
      <c r="N14" s="590"/>
      <c r="O14" s="514" t="s">
        <v>37</v>
      </c>
      <c r="P14" s="512">
        <v>1343</v>
      </c>
      <c r="Q14" s="512">
        <v>1464</v>
      </c>
      <c r="R14" s="513">
        <v>-121</v>
      </c>
      <c r="S14" s="513">
        <v>654</v>
      </c>
      <c r="T14" s="513">
        <v>899</v>
      </c>
      <c r="U14" s="515">
        <v>-245</v>
      </c>
      <c r="V14" s="515">
        <v>1324</v>
      </c>
      <c r="W14" s="515">
        <v>2208</v>
      </c>
      <c r="X14" s="515">
        <v>-884</v>
      </c>
      <c r="Y14" s="482"/>
      <c r="Z14" s="482"/>
    </row>
    <row r="15" spans="1:26" ht="15.75" customHeight="1" x14ac:dyDescent="0.15">
      <c r="A15" s="516"/>
      <c r="B15" s="594"/>
      <c r="C15" s="517" t="s">
        <v>31</v>
      </c>
      <c r="D15" s="518">
        <v>46</v>
      </c>
      <c r="E15" s="518">
        <v>45</v>
      </c>
      <c r="F15" s="519">
        <v>1</v>
      </c>
      <c r="G15" s="518">
        <v>21</v>
      </c>
      <c r="H15" s="518">
        <v>17</v>
      </c>
      <c r="I15" s="519">
        <v>4</v>
      </c>
      <c r="J15" s="520">
        <v>33</v>
      </c>
      <c r="K15" s="520">
        <v>32</v>
      </c>
      <c r="L15" s="519">
        <v>1</v>
      </c>
      <c r="M15" s="493"/>
      <c r="N15" s="590"/>
      <c r="O15" s="521" t="s">
        <v>31</v>
      </c>
      <c r="P15" s="518">
        <v>30</v>
      </c>
      <c r="Q15" s="518">
        <v>35</v>
      </c>
      <c r="R15" s="534">
        <v>-5</v>
      </c>
      <c r="S15" s="518">
        <v>15</v>
      </c>
      <c r="T15" s="518">
        <v>13</v>
      </c>
      <c r="U15" s="519">
        <v>2</v>
      </c>
      <c r="V15" s="520">
        <v>35</v>
      </c>
      <c r="W15" s="520">
        <v>29</v>
      </c>
      <c r="X15" s="519">
        <v>6</v>
      </c>
      <c r="Y15" s="482"/>
      <c r="Z15" s="482"/>
    </row>
    <row r="16" spans="1:26" ht="15.75" customHeight="1" x14ac:dyDescent="0.15">
      <c r="A16" s="487"/>
      <c r="B16" s="592" t="s">
        <v>40</v>
      </c>
      <c r="C16" s="488" t="s">
        <v>13</v>
      </c>
      <c r="D16" s="489">
        <v>473</v>
      </c>
      <c r="E16" s="489">
        <v>379</v>
      </c>
      <c r="F16" s="490">
        <v>94</v>
      </c>
      <c r="G16" s="491">
        <v>155</v>
      </c>
      <c r="H16" s="491">
        <v>142</v>
      </c>
      <c r="I16" s="491">
        <v>13</v>
      </c>
      <c r="J16" s="492">
        <v>165</v>
      </c>
      <c r="K16" s="492">
        <v>207</v>
      </c>
      <c r="L16" s="492">
        <v>-42</v>
      </c>
      <c r="M16" s="493"/>
      <c r="N16" s="595" t="s">
        <v>41</v>
      </c>
      <c r="O16" s="494" t="s">
        <v>13</v>
      </c>
      <c r="P16" s="489">
        <v>1785</v>
      </c>
      <c r="Q16" s="489">
        <v>1299</v>
      </c>
      <c r="R16" s="490">
        <v>486</v>
      </c>
      <c r="S16" s="489">
        <v>1092</v>
      </c>
      <c r="T16" s="491">
        <v>807</v>
      </c>
      <c r="U16" s="495">
        <v>285</v>
      </c>
      <c r="V16" s="496">
        <v>919</v>
      </c>
      <c r="W16" s="496">
        <v>1001</v>
      </c>
      <c r="X16" s="496">
        <v>-82</v>
      </c>
      <c r="Y16" s="482"/>
      <c r="Z16" s="482"/>
    </row>
    <row r="17" spans="1:26" ht="15.75" customHeight="1" x14ac:dyDescent="0.15">
      <c r="A17" s="487"/>
      <c r="B17" s="593"/>
      <c r="C17" s="497" t="s">
        <v>34</v>
      </c>
      <c r="D17" s="498">
        <v>68</v>
      </c>
      <c r="E17" s="498">
        <v>53</v>
      </c>
      <c r="F17" s="499">
        <v>15</v>
      </c>
      <c r="G17" s="500">
        <v>52</v>
      </c>
      <c r="H17" s="500">
        <v>32</v>
      </c>
      <c r="I17" s="500">
        <v>20</v>
      </c>
      <c r="J17" s="499">
        <v>67</v>
      </c>
      <c r="K17" s="499">
        <v>104</v>
      </c>
      <c r="L17" s="499">
        <v>-37</v>
      </c>
      <c r="M17" s="493"/>
      <c r="N17" s="590"/>
      <c r="O17" s="501" t="s">
        <v>34</v>
      </c>
      <c r="P17" s="498">
        <v>155</v>
      </c>
      <c r="Q17" s="498">
        <v>88</v>
      </c>
      <c r="R17" s="499">
        <v>67</v>
      </c>
      <c r="S17" s="500">
        <v>99</v>
      </c>
      <c r="T17" s="500">
        <v>71</v>
      </c>
      <c r="U17" s="502">
        <v>28</v>
      </c>
      <c r="V17" s="503">
        <v>114</v>
      </c>
      <c r="W17" s="503">
        <v>154</v>
      </c>
      <c r="X17" s="503">
        <v>-40</v>
      </c>
      <c r="Y17" s="482"/>
      <c r="Z17" s="482"/>
    </row>
    <row r="18" spans="1:26" ht="15.75" customHeight="1" x14ac:dyDescent="0.15">
      <c r="A18" s="487"/>
      <c r="B18" s="593"/>
      <c r="C18" s="497" t="s">
        <v>35</v>
      </c>
      <c r="D18" s="498">
        <v>453</v>
      </c>
      <c r="E18" s="498">
        <v>500</v>
      </c>
      <c r="F18" s="499">
        <v>-47</v>
      </c>
      <c r="G18" s="500">
        <v>305</v>
      </c>
      <c r="H18" s="500">
        <v>286</v>
      </c>
      <c r="I18" s="500">
        <v>19</v>
      </c>
      <c r="J18" s="498">
        <v>711</v>
      </c>
      <c r="K18" s="498">
        <v>1011</v>
      </c>
      <c r="L18" s="499">
        <v>-300</v>
      </c>
      <c r="M18" s="493"/>
      <c r="N18" s="590"/>
      <c r="O18" s="501" t="s">
        <v>35</v>
      </c>
      <c r="P18" s="498">
        <v>1077</v>
      </c>
      <c r="Q18" s="498">
        <v>947</v>
      </c>
      <c r="R18" s="499">
        <v>130</v>
      </c>
      <c r="S18" s="500">
        <v>739</v>
      </c>
      <c r="T18" s="500">
        <v>615</v>
      </c>
      <c r="U18" s="502">
        <v>124</v>
      </c>
      <c r="V18" s="503">
        <v>1054</v>
      </c>
      <c r="W18" s="503">
        <v>1102</v>
      </c>
      <c r="X18" s="503">
        <v>-48</v>
      </c>
      <c r="Y18" s="482"/>
      <c r="Z18" s="482"/>
    </row>
    <row r="19" spans="1:26" ht="15.75" customHeight="1" x14ac:dyDescent="0.15">
      <c r="A19" s="487"/>
      <c r="B19" s="593"/>
      <c r="C19" s="504" t="s">
        <v>36</v>
      </c>
      <c r="D19" s="505">
        <v>29</v>
      </c>
      <c r="E19" s="505">
        <v>79</v>
      </c>
      <c r="F19" s="506">
        <v>-50</v>
      </c>
      <c r="G19" s="507" t="s">
        <v>180</v>
      </c>
      <c r="H19" s="507" t="s">
        <v>180</v>
      </c>
      <c r="I19" s="507" t="s">
        <v>180</v>
      </c>
      <c r="J19" s="506">
        <v>331</v>
      </c>
      <c r="K19" s="506">
        <v>337</v>
      </c>
      <c r="L19" s="506">
        <v>-6</v>
      </c>
      <c r="M19" s="493"/>
      <c r="N19" s="590"/>
      <c r="O19" s="508" t="s">
        <v>36</v>
      </c>
      <c r="P19" s="505">
        <v>94</v>
      </c>
      <c r="Q19" s="505">
        <v>110</v>
      </c>
      <c r="R19" s="506">
        <v>-16</v>
      </c>
      <c r="S19" s="507" t="s">
        <v>180</v>
      </c>
      <c r="T19" s="507" t="s">
        <v>180</v>
      </c>
      <c r="U19" s="509" t="s">
        <v>180</v>
      </c>
      <c r="V19" s="510">
        <v>355</v>
      </c>
      <c r="W19" s="510">
        <v>434</v>
      </c>
      <c r="X19" s="510">
        <v>-79</v>
      </c>
      <c r="Y19" s="482"/>
      <c r="Z19" s="482"/>
    </row>
    <row r="20" spans="1:26" ht="15.75" customHeight="1" x14ac:dyDescent="0.15">
      <c r="A20" s="487"/>
      <c r="B20" s="593"/>
      <c r="C20" s="511" t="s">
        <v>37</v>
      </c>
      <c r="D20" s="512">
        <v>1023</v>
      </c>
      <c r="E20" s="512">
        <v>1011</v>
      </c>
      <c r="F20" s="513">
        <v>12</v>
      </c>
      <c r="G20" s="513">
        <v>512</v>
      </c>
      <c r="H20" s="513">
        <v>460</v>
      </c>
      <c r="I20" s="513">
        <v>52</v>
      </c>
      <c r="J20" s="512">
        <v>1274</v>
      </c>
      <c r="K20" s="512">
        <v>1659</v>
      </c>
      <c r="L20" s="513">
        <v>-385</v>
      </c>
      <c r="M20" s="493"/>
      <c r="N20" s="590"/>
      <c r="O20" s="514" t="s">
        <v>37</v>
      </c>
      <c r="P20" s="512">
        <v>3111</v>
      </c>
      <c r="Q20" s="512">
        <v>2444</v>
      </c>
      <c r="R20" s="512">
        <v>667</v>
      </c>
      <c r="S20" s="512">
        <v>1930</v>
      </c>
      <c r="T20" s="512">
        <v>1493</v>
      </c>
      <c r="U20" s="523">
        <v>437</v>
      </c>
      <c r="V20" s="515">
        <v>2442</v>
      </c>
      <c r="W20" s="515">
        <v>2691</v>
      </c>
      <c r="X20" s="515">
        <v>-249</v>
      </c>
      <c r="Y20" s="482"/>
      <c r="Z20" s="482"/>
    </row>
    <row r="21" spans="1:26" ht="15.75" customHeight="1" x14ac:dyDescent="0.15">
      <c r="A21" s="516"/>
      <c r="B21" s="594"/>
      <c r="C21" s="517" t="s">
        <v>31</v>
      </c>
      <c r="D21" s="518">
        <v>16</v>
      </c>
      <c r="E21" s="518">
        <v>35</v>
      </c>
      <c r="F21" s="519">
        <v>-19</v>
      </c>
      <c r="G21" s="518">
        <v>16</v>
      </c>
      <c r="H21" s="518">
        <v>6</v>
      </c>
      <c r="I21" s="519">
        <v>10</v>
      </c>
      <c r="J21" s="520">
        <v>28</v>
      </c>
      <c r="K21" s="520">
        <v>32</v>
      </c>
      <c r="L21" s="519">
        <v>-4</v>
      </c>
      <c r="M21" s="493"/>
      <c r="N21" s="591"/>
      <c r="O21" s="521" t="s">
        <v>31</v>
      </c>
      <c r="P21" s="518">
        <v>34</v>
      </c>
      <c r="Q21" s="518">
        <v>36</v>
      </c>
      <c r="R21" s="519">
        <v>-2</v>
      </c>
      <c r="S21" s="518">
        <v>29</v>
      </c>
      <c r="T21" s="518">
        <v>12</v>
      </c>
      <c r="U21" s="519">
        <v>17</v>
      </c>
      <c r="V21" s="520">
        <v>52</v>
      </c>
      <c r="W21" s="520">
        <v>34</v>
      </c>
      <c r="X21" s="519">
        <v>18</v>
      </c>
      <c r="Y21" s="482"/>
      <c r="Z21" s="482"/>
    </row>
    <row r="22" spans="1:26" ht="15.75" customHeight="1" x14ac:dyDescent="0.15">
      <c r="A22" s="487"/>
      <c r="B22" s="592" t="s">
        <v>42</v>
      </c>
      <c r="C22" s="488" t="s">
        <v>13</v>
      </c>
      <c r="D22" s="489">
        <v>654</v>
      </c>
      <c r="E22" s="489">
        <v>678</v>
      </c>
      <c r="F22" s="490">
        <v>-24</v>
      </c>
      <c r="G22" s="491">
        <v>272</v>
      </c>
      <c r="H22" s="491">
        <v>296</v>
      </c>
      <c r="I22" s="491">
        <v>-24</v>
      </c>
      <c r="J22" s="492">
        <v>251</v>
      </c>
      <c r="K22" s="492">
        <v>427</v>
      </c>
      <c r="L22" s="492">
        <v>-176</v>
      </c>
      <c r="M22" s="493"/>
      <c r="N22" s="590" t="s">
        <v>43</v>
      </c>
      <c r="O22" s="494" t="s">
        <v>13</v>
      </c>
      <c r="P22" s="489">
        <v>2065</v>
      </c>
      <c r="Q22" s="489">
        <v>1647</v>
      </c>
      <c r="R22" s="490">
        <v>418</v>
      </c>
      <c r="S22" s="489">
        <v>1366</v>
      </c>
      <c r="T22" s="491">
        <v>990</v>
      </c>
      <c r="U22" s="495">
        <v>376</v>
      </c>
      <c r="V22" s="496">
        <v>859</v>
      </c>
      <c r="W22" s="496">
        <v>574</v>
      </c>
      <c r="X22" s="496">
        <v>285</v>
      </c>
      <c r="Y22" s="482"/>
      <c r="Z22" s="482"/>
    </row>
    <row r="23" spans="1:26" ht="15.75" customHeight="1" x14ac:dyDescent="0.15">
      <c r="A23" s="487"/>
      <c r="B23" s="593"/>
      <c r="C23" s="497" t="s">
        <v>34</v>
      </c>
      <c r="D23" s="498">
        <v>66</v>
      </c>
      <c r="E23" s="498">
        <v>85</v>
      </c>
      <c r="F23" s="499">
        <v>-19</v>
      </c>
      <c r="G23" s="500">
        <v>40</v>
      </c>
      <c r="H23" s="500">
        <v>60</v>
      </c>
      <c r="I23" s="500">
        <v>-20</v>
      </c>
      <c r="J23" s="499">
        <v>79</v>
      </c>
      <c r="K23" s="499">
        <v>134</v>
      </c>
      <c r="L23" s="499">
        <v>-55</v>
      </c>
      <c r="M23" s="493"/>
      <c r="N23" s="590"/>
      <c r="O23" s="501" t="s">
        <v>34</v>
      </c>
      <c r="P23" s="498">
        <v>154</v>
      </c>
      <c r="Q23" s="498">
        <v>69</v>
      </c>
      <c r="R23" s="499">
        <v>85</v>
      </c>
      <c r="S23" s="500">
        <v>164</v>
      </c>
      <c r="T23" s="500">
        <v>63</v>
      </c>
      <c r="U23" s="502">
        <v>101</v>
      </c>
      <c r="V23" s="503">
        <v>120</v>
      </c>
      <c r="W23" s="503">
        <v>74</v>
      </c>
      <c r="X23" s="503">
        <v>46</v>
      </c>
      <c r="Y23" s="482"/>
      <c r="Z23" s="482"/>
    </row>
    <row r="24" spans="1:26" ht="15.75" customHeight="1" x14ac:dyDescent="0.15">
      <c r="A24" s="487"/>
      <c r="B24" s="593"/>
      <c r="C24" s="497" t="s">
        <v>35</v>
      </c>
      <c r="D24" s="498">
        <v>584</v>
      </c>
      <c r="E24" s="498">
        <v>624</v>
      </c>
      <c r="F24" s="499">
        <v>-40</v>
      </c>
      <c r="G24" s="500">
        <v>436</v>
      </c>
      <c r="H24" s="500">
        <v>435</v>
      </c>
      <c r="I24" s="500">
        <v>1</v>
      </c>
      <c r="J24" s="498">
        <v>743</v>
      </c>
      <c r="K24" s="498">
        <v>1170</v>
      </c>
      <c r="L24" s="499">
        <v>-427</v>
      </c>
      <c r="M24" s="493"/>
      <c r="N24" s="590"/>
      <c r="O24" s="501" t="s">
        <v>35</v>
      </c>
      <c r="P24" s="498">
        <v>1011</v>
      </c>
      <c r="Q24" s="498">
        <v>846</v>
      </c>
      <c r="R24" s="499">
        <v>165</v>
      </c>
      <c r="S24" s="500">
        <v>753</v>
      </c>
      <c r="T24" s="500">
        <v>599</v>
      </c>
      <c r="U24" s="502">
        <v>154</v>
      </c>
      <c r="V24" s="503">
        <v>963</v>
      </c>
      <c r="W24" s="503">
        <v>926</v>
      </c>
      <c r="X24" s="503">
        <v>37</v>
      </c>
      <c r="Y24" s="482"/>
      <c r="Z24" s="482"/>
    </row>
    <row r="25" spans="1:26" ht="15.75" customHeight="1" x14ac:dyDescent="0.15">
      <c r="A25" s="487"/>
      <c r="B25" s="593"/>
      <c r="C25" s="504" t="s">
        <v>36</v>
      </c>
      <c r="D25" s="505">
        <v>62</v>
      </c>
      <c r="E25" s="505">
        <v>74</v>
      </c>
      <c r="F25" s="506">
        <v>-12</v>
      </c>
      <c r="G25" s="507" t="s">
        <v>180</v>
      </c>
      <c r="H25" s="507" t="s">
        <v>180</v>
      </c>
      <c r="I25" s="507" t="s">
        <v>180</v>
      </c>
      <c r="J25" s="506">
        <v>342</v>
      </c>
      <c r="K25" s="506">
        <v>408</v>
      </c>
      <c r="L25" s="506">
        <v>-66</v>
      </c>
      <c r="M25" s="493"/>
      <c r="N25" s="590"/>
      <c r="O25" s="508" t="s">
        <v>36</v>
      </c>
      <c r="P25" s="505">
        <v>88</v>
      </c>
      <c r="Q25" s="505">
        <v>60</v>
      </c>
      <c r="R25" s="506">
        <v>28</v>
      </c>
      <c r="S25" s="507" t="s">
        <v>180</v>
      </c>
      <c r="T25" s="507" t="s">
        <v>180</v>
      </c>
      <c r="U25" s="509" t="s">
        <v>180</v>
      </c>
      <c r="V25" s="510">
        <v>320</v>
      </c>
      <c r="W25" s="510">
        <v>383</v>
      </c>
      <c r="X25" s="510">
        <v>-63</v>
      </c>
      <c r="Y25" s="482"/>
      <c r="Z25" s="482"/>
    </row>
    <row r="26" spans="1:26" ht="15.75" customHeight="1" x14ac:dyDescent="0.15">
      <c r="A26" s="487"/>
      <c r="B26" s="593"/>
      <c r="C26" s="511" t="s">
        <v>37</v>
      </c>
      <c r="D26" s="512">
        <v>1366</v>
      </c>
      <c r="E26" s="512">
        <v>1461</v>
      </c>
      <c r="F26" s="513">
        <v>-95</v>
      </c>
      <c r="G26" s="513">
        <v>748</v>
      </c>
      <c r="H26" s="513">
        <v>791</v>
      </c>
      <c r="I26" s="513">
        <v>-43</v>
      </c>
      <c r="J26" s="512">
        <v>1415</v>
      </c>
      <c r="K26" s="512">
        <v>2139</v>
      </c>
      <c r="L26" s="522">
        <v>-724</v>
      </c>
      <c r="M26" s="493"/>
      <c r="N26" s="590"/>
      <c r="O26" s="514" t="s">
        <v>37</v>
      </c>
      <c r="P26" s="512">
        <v>3318</v>
      </c>
      <c r="Q26" s="512">
        <v>2622</v>
      </c>
      <c r="R26" s="512">
        <v>696</v>
      </c>
      <c r="S26" s="512">
        <v>2283</v>
      </c>
      <c r="T26" s="512">
        <v>1652</v>
      </c>
      <c r="U26" s="523">
        <v>631</v>
      </c>
      <c r="V26" s="515">
        <v>2262</v>
      </c>
      <c r="W26" s="515">
        <v>1957</v>
      </c>
      <c r="X26" s="515">
        <v>305</v>
      </c>
      <c r="Y26" s="482"/>
      <c r="Z26" s="482"/>
    </row>
    <row r="27" spans="1:26" ht="15.75" customHeight="1" x14ac:dyDescent="0.15">
      <c r="A27" s="516"/>
      <c r="B27" s="594"/>
      <c r="C27" s="517" t="s">
        <v>31</v>
      </c>
      <c r="D27" s="518">
        <v>30</v>
      </c>
      <c r="E27" s="518">
        <v>45</v>
      </c>
      <c r="F27" s="519">
        <v>-15</v>
      </c>
      <c r="G27" s="518">
        <v>11</v>
      </c>
      <c r="H27" s="518">
        <v>13</v>
      </c>
      <c r="I27" s="519">
        <v>-2</v>
      </c>
      <c r="J27" s="520">
        <v>37</v>
      </c>
      <c r="K27" s="520">
        <v>33</v>
      </c>
      <c r="L27" s="519">
        <v>4</v>
      </c>
      <c r="M27" s="493"/>
      <c r="N27" s="590"/>
      <c r="O27" s="521" t="s">
        <v>31</v>
      </c>
      <c r="P27" s="518">
        <v>42</v>
      </c>
      <c r="Q27" s="518">
        <v>47</v>
      </c>
      <c r="R27" s="534">
        <v>-5</v>
      </c>
      <c r="S27" s="518">
        <v>14</v>
      </c>
      <c r="T27" s="518">
        <v>16</v>
      </c>
      <c r="U27" s="519">
        <v>-2</v>
      </c>
      <c r="V27" s="520">
        <v>51</v>
      </c>
      <c r="W27" s="520">
        <v>34</v>
      </c>
      <c r="X27" s="519">
        <v>17</v>
      </c>
      <c r="Y27" s="482"/>
      <c r="Z27" s="482"/>
    </row>
    <row r="28" spans="1:26" ht="15.75" customHeight="1" x14ac:dyDescent="0.15">
      <c r="A28" s="487"/>
      <c r="B28" s="592" t="s">
        <v>44</v>
      </c>
      <c r="C28" s="488" t="s">
        <v>13</v>
      </c>
      <c r="D28" s="489">
        <v>1199</v>
      </c>
      <c r="E28" s="489">
        <v>1004</v>
      </c>
      <c r="F28" s="490">
        <v>195</v>
      </c>
      <c r="G28" s="491">
        <v>382</v>
      </c>
      <c r="H28" s="491">
        <v>319</v>
      </c>
      <c r="I28" s="491">
        <v>63</v>
      </c>
      <c r="J28" s="492">
        <v>639</v>
      </c>
      <c r="K28" s="492">
        <v>537</v>
      </c>
      <c r="L28" s="492">
        <v>102</v>
      </c>
      <c r="M28" s="493"/>
      <c r="N28" s="595" t="s">
        <v>45</v>
      </c>
      <c r="O28" s="494" t="s">
        <v>13</v>
      </c>
      <c r="P28" s="489">
        <v>725</v>
      </c>
      <c r="Q28" s="489">
        <v>899</v>
      </c>
      <c r="R28" s="490">
        <v>-174</v>
      </c>
      <c r="S28" s="491">
        <v>348</v>
      </c>
      <c r="T28" s="491">
        <v>515</v>
      </c>
      <c r="U28" s="495">
        <v>-167</v>
      </c>
      <c r="V28" s="496">
        <v>292</v>
      </c>
      <c r="W28" s="496">
        <v>555</v>
      </c>
      <c r="X28" s="496">
        <v>-263</v>
      </c>
      <c r="Y28" s="482"/>
      <c r="Z28" s="482"/>
    </row>
    <row r="29" spans="1:26" ht="15.75" customHeight="1" x14ac:dyDescent="0.15">
      <c r="A29" s="487"/>
      <c r="B29" s="593"/>
      <c r="C29" s="497" t="s">
        <v>34</v>
      </c>
      <c r="D29" s="498">
        <v>112</v>
      </c>
      <c r="E29" s="498">
        <v>125</v>
      </c>
      <c r="F29" s="499">
        <v>-13</v>
      </c>
      <c r="G29" s="500">
        <v>78</v>
      </c>
      <c r="H29" s="500">
        <v>97</v>
      </c>
      <c r="I29" s="500">
        <v>-19</v>
      </c>
      <c r="J29" s="499">
        <v>97</v>
      </c>
      <c r="K29" s="499">
        <v>87</v>
      </c>
      <c r="L29" s="499">
        <v>10</v>
      </c>
      <c r="M29" s="493"/>
      <c r="N29" s="590"/>
      <c r="O29" s="501" t="s">
        <v>34</v>
      </c>
      <c r="P29" s="498">
        <v>68</v>
      </c>
      <c r="Q29" s="498">
        <v>89</v>
      </c>
      <c r="R29" s="499">
        <v>-21</v>
      </c>
      <c r="S29" s="500">
        <v>36</v>
      </c>
      <c r="T29" s="500">
        <v>61</v>
      </c>
      <c r="U29" s="502">
        <v>-25</v>
      </c>
      <c r="V29" s="503">
        <v>56</v>
      </c>
      <c r="W29" s="503">
        <v>100</v>
      </c>
      <c r="X29" s="503">
        <v>-44</v>
      </c>
      <c r="Y29" s="482"/>
      <c r="Z29" s="482"/>
    </row>
    <row r="30" spans="1:26" ht="15.75" customHeight="1" x14ac:dyDescent="0.15">
      <c r="A30" s="487"/>
      <c r="B30" s="593"/>
      <c r="C30" s="497" t="s">
        <v>35</v>
      </c>
      <c r="D30" s="498">
        <v>926</v>
      </c>
      <c r="E30" s="498">
        <v>840</v>
      </c>
      <c r="F30" s="499">
        <v>86</v>
      </c>
      <c r="G30" s="500">
        <v>542</v>
      </c>
      <c r="H30" s="500">
        <v>624</v>
      </c>
      <c r="I30" s="500">
        <v>-82</v>
      </c>
      <c r="J30" s="499">
        <v>861</v>
      </c>
      <c r="K30" s="499">
        <v>970</v>
      </c>
      <c r="L30" s="499">
        <v>-109</v>
      </c>
      <c r="M30" s="493"/>
      <c r="N30" s="590"/>
      <c r="O30" s="501" t="s">
        <v>35</v>
      </c>
      <c r="P30" s="498">
        <v>490</v>
      </c>
      <c r="Q30" s="498">
        <v>479</v>
      </c>
      <c r="R30" s="499">
        <v>11</v>
      </c>
      <c r="S30" s="500">
        <v>303</v>
      </c>
      <c r="T30" s="500">
        <v>436</v>
      </c>
      <c r="U30" s="502">
        <v>-133</v>
      </c>
      <c r="V30" s="503">
        <v>527</v>
      </c>
      <c r="W30" s="503">
        <v>979</v>
      </c>
      <c r="X30" s="503">
        <v>-452</v>
      </c>
      <c r="Y30" s="482"/>
      <c r="Z30" s="482"/>
    </row>
    <row r="31" spans="1:26" ht="15.75" customHeight="1" x14ac:dyDescent="0.15">
      <c r="A31" s="487"/>
      <c r="B31" s="593"/>
      <c r="C31" s="504" t="s">
        <v>36</v>
      </c>
      <c r="D31" s="505">
        <v>92</v>
      </c>
      <c r="E31" s="505">
        <v>165</v>
      </c>
      <c r="F31" s="506">
        <v>-73</v>
      </c>
      <c r="G31" s="507" t="s">
        <v>180</v>
      </c>
      <c r="H31" s="507" t="s">
        <v>180</v>
      </c>
      <c r="I31" s="507" t="s">
        <v>180</v>
      </c>
      <c r="J31" s="506">
        <v>314</v>
      </c>
      <c r="K31" s="506">
        <v>457</v>
      </c>
      <c r="L31" s="506">
        <v>-143</v>
      </c>
      <c r="M31" s="493"/>
      <c r="N31" s="590"/>
      <c r="O31" s="508" t="s">
        <v>36</v>
      </c>
      <c r="P31" s="505">
        <v>66</v>
      </c>
      <c r="Q31" s="505">
        <v>64</v>
      </c>
      <c r="R31" s="506">
        <v>2</v>
      </c>
      <c r="S31" s="507" t="s">
        <v>180</v>
      </c>
      <c r="T31" s="507" t="s">
        <v>180</v>
      </c>
      <c r="U31" s="509" t="s">
        <v>180</v>
      </c>
      <c r="V31" s="510">
        <v>228</v>
      </c>
      <c r="W31" s="510">
        <v>329</v>
      </c>
      <c r="X31" s="510">
        <v>-101</v>
      </c>
      <c r="Y31" s="482"/>
      <c r="Z31" s="482"/>
    </row>
    <row r="32" spans="1:26" ht="15.75" customHeight="1" x14ac:dyDescent="0.15">
      <c r="A32" s="487"/>
      <c r="B32" s="593"/>
      <c r="C32" s="511" t="s">
        <v>37</v>
      </c>
      <c r="D32" s="512">
        <v>2329</v>
      </c>
      <c r="E32" s="512">
        <v>2134</v>
      </c>
      <c r="F32" s="513">
        <v>195</v>
      </c>
      <c r="G32" s="513">
        <v>1002</v>
      </c>
      <c r="H32" s="513">
        <v>1040</v>
      </c>
      <c r="I32" s="513">
        <v>-38</v>
      </c>
      <c r="J32" s="512">
        <v>1911</v>
      </c>
      <c r="K32" s="512">
        <v>2051</v>
      </c>
      <c r="L32" s="513">
        <v>-140</v>
      </c>
      <c r="M32" s="493"/>
      <c r="N32" s="590"/>
      <c r="O32" s="514" t="s">
        <v>37</v>
      </c>
      <c r="P32" s="512">
        <v>1349</v>
      </c>
      <c r="Q32" s="512">
        <v>1531</v>
      </c>
      <c r="R32" s="513">
        <v>-182</v>
      </c>
      <c r="S32" s="512">
        <v>687</v>
      </c>
      <c r="T32" s="512">
        <v>1012</v>
      </c>
      <c r="U32" s="524">
        <v>-325</v>
      </c>
      <c r="V32" s="515">
        <v>1103</v>
      </c>
      <c r="W32" s="515">
        <v>1963</v>
      </c>
      <c r="X32" s="515">
        <v>-860</v>
      </c>
      <c r="Y32" s="482"/>
      <c r="Z32" s="482"/>
    </row>
    <row r="33" spans="1:30" ht="15.75" customHeight="1" x14ac:dyDescent="0.15">
      <c r="A33" s="516"/>
      <c r="B33" s="594"/>
      <c r="C33" s="517" t="s">
        <v>31</v>
      </c>
      <c r="D33" s="518">
        <v>48</v>
      </c>
      <c r="E33" s="518">
        <v>38</v>
      </c>
      <c r="F33" s="519">
        <v>10</v>
      </c>
      <c r="G33" s="518">
        <v>13</v>
      </c>
      <c r="H33" s="518">
        <v>13</v>
      </c>
      <c r="I33" s="519">
        <v>0</v>
      </c>
      <c r="J33" s="520">
        <v>44</v>
      </c>
      <c r="K33" s="520">
        <v>41</v>
      </c>
      <c r="L33" s="519">
        <v>3</v>
      </c>
      <c r="M33" s="493"/>
      <c r="N33" s="591"/>
      <c r="O33" s="521" t="s">
        <v>31</v>
      </c>
      <c r="P33" s="518">
        <v>28</v>
      </c>
      <c r="Q33" s="518">
        <v>30</v>
      </c>
      <c r="R33" s="519">
        <v>-2</v>
      </c>
      <c r="S33" s="518">
        <v>6</v>
      </c>
      <c r="T33" s="518">
        <v>16</v>
      </c>
      <c r="U33" s="534">
        <v>-10</v>
      </c>
      <c r="V33" s="518">
        <v>24</v>
      </c>
      <c r="W33" s="519">
        <v>32</v>
      </c>
      <c r="X33" s="534">
        <v>-8</v>
      </c>
      <c r="Y33" s="482"/>
      <c r="Z33" s="482"/>
    </row>
    <row r="34" spans="1:30" ht="15.75" customHeight="1" x14ac:dyDescent="0.15">
      <c r="A34" s="487"/>
      <c r="B34" s="592" t="s">
        <v>46</v>
      </c>
      <c r="C34" s="488" t="s">
        <v>13</v>
      </c>
      <c r="D34" s="489">
        <v>897</v>
      </c>
      <c r="E34" s="489">
        <v>789</v>
      </c>
      <c r="F34" s="490">
        <v>108</v>
      </c>
      <c r="G34" s="491">
        <v>330</v>
      </c>
      <c r="H34" s="491">
        <v>360</v>
      </c>
      <c r="I34" s="491">
        <v>-30</v>
      </c>
      <c r="J34" s="492">
        <v>307</v>
      </c>
      <c r="K34" s="492">
        <v>491</v>
      </c>
      <c r="L34" s="492">
        <v>-184</v>
      </c>
      <c r="M34" s="493"/>
      <c r="N34" s="595" t="s">
        <v>47</v>
      </c>
      <c r="O34" s="494" t="s">
        <v>13</v>
      </c>
      <c r="P34" s="489">
        <v>553</v>
      </c>
      <c r="Q34" s="489">
        <v>559</v>
      </c>
      <c r="R34" s="490">
        <v>-6</v>
      </c>
      <c r="S34" s="491">
        <v>228</v>
      </c>
      <c r="T34" s="491">
        <v>299</v>
      </c>
      <c r="U34" s="491">
        <v>-71</v>
      </c>
      <c r="V34" s="492">
        <v>190</v>
      </c>
      <c r="W34" s="492">
        <v>348</v>
      </c>
      <c r="X34" s="492">
        <v>-158</v>
      </c>
      <c r="Y34" s="482"/>
      <c r="Z34" s="482"/>
    </row>
    <row r="35" spans="1:30" ht="15.75" customHeight="1" x14ac:dyDescent="0.15">
      <c r="A35" s="487"/>
      <c r="B35" s="593"/>
      <c r="C35" s="497" t="s">
        <v>34</v>
      </c>
      <c r="D35" s="498">
        <v>52</v>
      </c>
      <c r="E35" s="498">
        <v>63</v>
      </c>
      <c r="F35" s="499">
        <v>-11</v>
      </c>
      <c r="G35" s="500">
        <v>40</v>
      </c>
      <c r="H35" s="500">
        <v>64</v>
      </c>
      <c r="I35" s="500">
        <v>-24</v>
      </c>
      <c r="J35" s="499">
        <v>53</v>
      </c>
      <c r="K35" s="499">
        <v>105</v>
      </c>
      <c r="L35" s="499">
        <v>-52</v>
      </c>
      <c r="M35" s="493"/>
      <c r="N35" s="590"/>
      <c r="O35" s="501" t="s">
        <v>34</v>
      </c>
      <c r="P35" s="498">
        <v>63</v>
      </c>
      <c r="Q35" s="498">
        <v>73</v>
      </c>
      <c r="R35" s="499">
        <v>-10</v>
      </c>
      <c r="S35" s="500">
        <v>60</v>
      </c>
      <c r="T35" s="500">
        <v>57</v>
      </c>
      <c r="U35" s="500">
        <v>3</v>
      </c>
      <c r="V35" s="499">
        <v>71</v>
      </c>
      <c r="W35" s="499">
        <v>92</v>
      </c>
      <c r="X35" s="499">
        <v>-21</v>
      </c>
      <c r="Y35" s="482"/>
      <c r="Z35" s="482"/>
    </row>
    <row r="36" spans="1:30" ht="15.75" customHeight="1" x14ac:dyDescent="0.15">
      <c r="A36" s="487"/>
      <c r="B36" s="593"/>
      <c r="C36" s="497" t="s">
        <v>35</v>
      </c>
      <c r="D36" s="498">
        <v>598</v>
      </c>
      <c r="E36" s="498">
        <v>620</v>
      </c>
      <c r="F36" s="499">
        <v>-22</v>
      </c>
      <c r="G36" s="500">
        <v>321</v>
      </c>
      <c r="H36" s="500">
        <v>395</v>
      </c>
      <c r="I36" s="500">
        <v>-74</v>
      </c>
      <c r="J36" s="499">
        <v>722</v>
      </c>
      <c r="K36" s="499">
        <v>893</v>
      </c>
      <c r="L36" s="499">
        <v>-171</v>
      </c>
      <c r="M36" s="493"/>
      <c r="N36" s="590"/>
      <c r="O36" s="501" t="s">
        <v>35</v>
      </c>
      <c r="P36" s="498">
        <v>568</v>
      </c>
      <c r="Q36" s="498">
        <v>498</v>
      </c>
      <c r="R36" s="499">
        <v>70</v>
      </c>
      <c r="S36" s="500">
        <v>332</v>
      </c>
      <c r="T36" s="500">
        <v>416</v>
      </c>
      <c r="U36" s="500">
        <v>-84</v>
      </c>
      <c r="V36" s="499">
        <v>646</v>
      </c>
      <c r="W36" s="499">
        <v>840</v>
      </c>
      <c r="X36" s="499">
        <v>-194</v>
      </c>
      <c r="Y36" s="482"/>
      <c r="Z36" s="482"/>
    </row>
    <row r="37" spans="1:30" ht="15.75" customHeight="1" x14ac:dyDescent="0.15">
      <c r="A37" s="487"/>
      <c r="B37" s="593"/>
      <c r="C37" s="504" t="s">
        <v>36</v>
      </c>
      <c r="D37" s="505">
        <v>80</v>
      </c>
      <c r="E37" s="505">
        <v>91</v>
      </c>
      <c r="F37" s="506">
        <v>-11</v>
      </c>
      <c r="G37" s="507" t="s">
        <v>180</v>
      </c>
      <c r="H37" s="507" t="s">
        <v>180</v>
      </c>
      <c r="I37" s="507" t="s">
        <v>180</v>
      </c>
      <c r="J37" s="506">
        <v>267</v>
      </c>
      <c r="K37" s="506">
        <v>350</v>
      </c>
      <c r="L37" s="506">
        <v>-83</v>
      </c>
      <c r="M37" s="493"/>
      <c r="N37" s="590"/>
      <c r="O37" s="508" t="s">
        <v>36</v>
      </c>
      <c r="P37" s="505">
        <v>109</v>
      </c>
      <c r="Q37" s="525">
        <v>56</v>
      </c>
      <c r="R37" s="506">
        <v>53</v>
      </c>
      <c r="S37" s="507" t="s">
        <v>180</v>
      </c>
      <c r="T37" s="507" t="s">
        <v>180</v>
      </c>
      <c r="U37" s="507" t="s">
        <v>180</v>
      </c>
      <c r="V37" s="506">
        <v>337</v>
      </c>
      <c r="W37" s="506">
        <v>325</v>
      </c>
      <c r="X37" s="506">
        <v>12</v>
      </c>
      <c r="Y37" s="482"/>
      <c r="Z37" s="482"/>
    </row>
    <row r="38" spans="1:30" ht="15.75" customHeight="1" x14ac:dyDescent="0.15">
      <c r="A38" s="487"/>
      <c r="B38" s="593"/>
      <c r="C38" s="511" t="s">
        <v>37</v>
      </c>
      <c r="D38" s="512">
        <v>1627</v>
      </c>
      <c r="E38" s="512">
        <v>1563</v>
      </c>
      <c r="F38" s="513">
        <v>64</v>
      </c>
      <c r="G38" s="513">
        <v>691</v>
      </c>
      <c r="H38" s="513">
        <v>819</v>
      </c>
      <c r="I38" s="513">
        <v>-128</v>
      </c>
      <c r="J38" s="512">
        <v>1349</v>
      </c>
      <c r="K38" s="512">
        <v>1839</v>
      </c>
      <c r="L38" s="513">
        <v>-490</v>
      </c>
      <c r="M38" s="493"/>
      <c r="N38" s="590"/>
      <c r="O38" s="514" t="s">
        <v>37</v>
      </c>
      <c r="P38" s="512">
        <v>1293</v>
      </c>
      <c r="Q38" s="512">
        <v>1186</v>
      </c>
      <c r="R38" s="513">
        <v>107</v>
      </c>
      <c r="S38" s="513">
        <v>620</v>
      </c>
      <c r="T38" s="513">
        <v>772</v>
      </c>
      <c r="U38" s="513">
        <v>-152</v>
      </c>
      <c r="V38" s="512">
        <v>1244</v>
      </c>
      <c r="W38" s="512">
        <v>1605</v>
      </c>
      <c r="X38" s="513">
        <v>-361</v>
      </c>
      <c r="Y38" s="482"/>
      <c r="Z38" s="482"/>
    </row>
    <row r="39" spans="1:30" ht="15.75" customHeight="1" x14ac:dyDescent="0.15">
      <c r="A39" s="516"/>
      <c r="B39" s="594"/>
      <c r="C39" s="517" t="s">
        <v>31</v>
      </c>
      <c r="D39" s="518">
        <v>43</v>
      </c>
      <c r="E39" s="518">
        <v>36</v>
      </c>
      <c r="F39" s="519">
        <v>7</v>
      </c>
      <c r="G39" s="518">
        <v>19</v>
      </c>
      <c r="H39" s="518">
        <v>4</v>
      </c>
      <c r="I39" s="519">
        <v>15</v>
      </c>
      <c r="J39" s="520">
        <v>40</v>
      </c>
      <c r="K39" s="520">
        <v>41</v>
      </c>
      <c r="L39" s="519">
        <v>-1</v>
      </c>
      <c r="M39" s="493"/>
      <c r="N39" s="591"/>
      <c r="O39" s="521" t="s">
        <v>31</v>
      </c>
      <c r="P39" s="518">
        <v>37</v>
      </c>
      <c r="Q39" s="518">
        <v>22</v>
      </c>
      <c r="R39" s="519">
        <v>15</v>
      </c>
      <c r="S39" s="518">
        <v>13</v>
      </c>
      <c r="T39" s="518">
        <v>10</v>
      </c>
      <c r="U39" s="518">
        <v>3</v>
      </c>
      <c r="V39" s="518">
        <v>44</v>
      </c>
      <c r="W39" s="519">
        <v>26</v>
      </c>
      <c r="X39" s="518">
        <v>18</v>
      </c>
      <c r="Y39" s="482"/>
      <c r="Z39" s="482"/>
    </row>
    <row r="40" spans="1:30" ht="15.75" customHeight="1" x14ac:dyDescent="0.15">
      <c r="A40" s="526"/>
      <c r="B40" s="479"/>
      <c r="C40" s="527"/>
      <c r="D40" s="493"/>
      <c r="E40" s="493"/>
      <c r="F40" s="493"/>
      <c r="G40" s="493"/>
      <c r="H40" s="493"/>
      <c r="I40" s="493"/>
      <c r="J40" s="493"/>
      <c r="K40" s="528"/>
      <c r="L40" s="493"/>
      <c r="M40" s="493"/>
      <c r="N40" s="590" t="s">
        <v>48</v>
      </c>
      <c r="O40" s="494" t="s">
        <v>13</v>
      </c>
      <c r="P40" s="489">
        <v>11278</v>
      </c>
      <c r="Q40" s="489">
        <v>10053</v>
      </c>
      <c r="R40" s="529">
        <v>1225</v>
      </c>
      <c r="S40" s="489">
        <v>5318</v>
      </c>
      <c r="T40" s="489">
        <v>5117</v>
      </c>
      <c r="U40" s="490">
        <v>201</v>
      </c>
      <c r="V40" s="489">
        <v>4750</v>
      </c>
      <c r="W40" s="489">
        <v>5849</v>
      </c>
      <c r="X40" s="495">
        <v>-1099</v>
      </c>
      <c r="Y40" s="482"/>
      <c r="Z40" s="482"/>
    </row>
    <row r="41" spans="1:30" ht="15.75" customHeight="1" x14ac:dyDescent="0.15">
      <c r="A41" s="526"/>
      <c r="B41" s="479"/>
      <c r="C41" s="527"/>
      <c r="D41" s="493"/>
      <c r="E41" s="493"/>
      <c r="F41" s="493"/>
      <c r="G41" s="493"/>
      <c r="H41" s="493"/>
      <c r="I41" s="493"/>
      <c r="J41" s="493"/>
      <c r="K41" s="528"/>
      <c r="L41" s="493"/>
      <c r="M41" s="493"/>
      <c r="N41" s="590"/>
      <c r="O41" s="501" t="s">
        <v>34</v>
      </c>
      <c r="P41" s="498">
        <v>980</v>
      </c>
      <c r="Q41" s="498">
        <v>889</v>
      </c>
      <c r="R41" s="498">
        <v>91</v>
      </c>
      <c r="S41" s="498">
        <v>695</v>
      </c>
      <c r="T41" s="498">
        <v>678</v>
      </c>
      <c r="U41" s="499">
        <v>17</v>
      </c>
      <c r="V41" s="498">
        <v>880</v>
      </c>
      <c r="W41" s="498">
        <v>1275</v>
      </c>
      <c r="X41" s="502">
        <v>-395</v>
      </c>
      <c r="Y41" s="482"/>
      <c r="Z41" s="482"/>
    </row>
    <row r="42" spans="1:30" ht="15.75" customHeight="1" x14ac:dyDescent="0.15">
      <c r="A42" s="526"/>
      <c r="B42" s="479"/>
      <c r="C42" s="527"/>
      <c r="D42" s="493"/>
      <c r="E42" s="493"/>
      <c r="F42" s="493"/>
      <c r="G42" s="493"/>
      <c r="H42" s="493"/>
      <c r="I42" s="493"/>
      <c r="J42" s="493"/>
      <c r="K42" s="528"/>
      <c r="L42" s="493"/>
      <c r="M42" s="493"/>
      <c r="N42" s="590"/>
      <c r="O42" s="501" t="s">
        <v>35</v>
      </c>
      <c r="P42" s="498">
        <v>7669</v>
      </c>
      <c r="Q42" s="498">
        <v>7467</v>
      </c>
      <c r="R42" s="498">
        <v>202</v>
      </c>
      <c r="S42" s="498">
        <v>5097</v>
      </c>
      <c r="T42" s="498">
        <v>5371</v>
      </c>
      <c r="U42" s="499">
        <v>-274</v>
      </c>
      <c r="V42" s="498">
        <v>9117</v>
      </c>
      <c r="W42" s="498">
        <v>11421</v>
      </c>
      <c r="X42" s="502">
        <v>-2304</v>
      </c>
      <c r="Y42" s="482"/>
      <c r="Z42" s="482"/>
    </row>
    <row r="43" spans="1:30" ht="15.75" customHeight="1" x14ac:dyDescent="0.15">
      <c r="A43" s="526"/>
      <c r="B43" s="479"/>
      <c r="C43" s="527"/>
      <c r="D43" s="493"/>
      <c r="E43" s="493"/>
      <c r="F43" s="493"/>
      <c r="G43" s="493"/>
      <c r="H43" s="493"/>
      <c r="I43" s="493"/>
      <c r="J43" s="493"/>
      <c r="K43" s="528"/>
      <c r="L43" s="493"/>
      <c r="M43" s="493"/>
      <c r="N43" s="590"/>
      <c r="O43" s="508" t="s">
        <v>36</v>
      </c>
      <c r="P43" s="505">
        <v>855</v>
      </c>
      <c r="Q43" s="505">
        <v>1035</v>
      </c>
      <c r="R43" s="506">
        <v>-180</v>
      </c>
      <c r="S43" s="505" t="s">
        <v>180</v>
      </c>
      <c r="T43" s="505" t="s">
        <v>180</v>
      </c>
      <c r="U43" s="507" t="s">
        <v>180</v>
      </c>
      <c r="V43" s="505">
        <v>3644</v>
      </c>
      <c r="W43" s="505">
        <v>4318</v>
      </c>
      <c r="X43" s="509">
        <v>-674</v>
      </c>
      <c r="Y43" s="482"/>
      <c r="Z43" s="482"/>
    </row>
    <row r="44" spans="1:30" ht="15.75" customHeight="1" x14ac:dyDescent="0.15">
      <c r="A44" s="526"/>
      <c r="B44" s="479"/>
      <c r="C44" s="527"/>
      <c r="D44" s="493"/>
      <c r="E44" s="493"/>
      <c r="F44" s="493"/>
      <c r="G44" s="493"/>
      <c r="H44" s="493"/>
      <c r="I44" s="493"/>
      <c r="J44" s="493"/>
      <c r="K44" s="528"/>
      <c r="L44" s="493"/>
      <c r="M44" s="493"/>
      <c r="N44" s="590"/>
      <c r="O44" s="514" t="s">
        <v>37</v>
      </c>
      <c r="P44" s="512">
        <v>20782</v>
      </c>
      <c r="Q44" s="512">
        <v>19444</v>
      </c>
      <c r="R44" s="512">
        <v>1338</v>
      </c>
      <c r="S44" s="512">
        <v>11110</v>
      </c>
      <c r="T44" s="512">
        <v>11166</v>
      </c>
      <c r="U44" s="513">
        <v>-56</v>
      </c>
      <c r="V44" s="512">
        <v>18391</v>
      </c>
      <c r="W44" s="512">
        <v>22863</v>
      </c>
      <c r="X44" s="515">
        <v>-4472</v>
      </c>
      <c r="Y44" s="482"/>
      <c r="Z44" s="482"/>
    </row>
    <row r="45" spans="1:30" ht="15.75" customHeight="1" x14ac:dyDescent="0.15">
      <c r="D45" s="531"/>
      <c r="E45" s="531"/>
      <c r="F45" s="531"/>
      <c r="G45" s="531"/>
      <c r="H45" s="531"/>
      <c r="I45" s="531"/>
      <c r="J45" s="531"/>
      <c r="K45" s="532"/>
      <c r="L45" s="531"/>
      <c r="M45" s="531"/>
      <c r="N45" s="591"/>
      <c r="O45" s="521" t="s">
        <v>31</v>
      </c>
      <c r="P45" s="518">
        <v>429</v>
      </c>
      <c r="Q45" s="518">
        <v>436</v>
      </c>
      <c r="R45" s="519">
        <v>-7</v>
      </c>
      <c r="S45" s="518">
        <v>178</v>
      </c>
      <c r="T45" s="518">
        <v>141</v>
      </c>
      <c r="U45" s="519">
        <v>37</v>
      </c>
      <c r="V45" s="520">
        <v>448</v>
      </c>
      <c r="W45" s="520">
        <v>390</v>
      </c>
      <c r="X45" s="519">
        <v>58</v>
      </c>
      <c r="Y45" s="482"/>
      <c r="Z45" s="482"/>
    </row>
    <row r="46" spans="1:30" s="479" customFormat="1" x14ac:dyDescent="0.15">
      <c r="A46" s="482"/>
      <c r="B46" s="530"/>
      <c r="C46" s="480"/>
      <c r="D46" s="480"/>
      <c r="E46" s="480"/>
      <c r="F46" s="480"/>
      <c r="G46" s="480"/>
      <c r="H46" s="480"/>
      <c r="I46" s="480"/>
      <c r="J46" s="480"/>
      <c r="K46" s="533"/>
      <c r="L46" s="480"/>
      <c r="M46" s="480"/>
      <c r="O46" s="480"/>
      <c r="P46" s="480"/>
      <c r="Q46" s="480"/>
      <c r="R46" s="480"/>
      <c r="S46" s="480"/>
      <c r="T46" s="480"/>
      <c r="U46" s="480"/>
      <c r="V46" s="480"/>
      <c r="W46" s="480"/>
      <c r="X46" s="480"/>
      <c r="Y46" s="480"/>
      <c r="Z46" s="480"/>
      <c r="AA46" s="482"/>
      <c r="AB46" s="482"/>
      <c r="AC46" s="482"/>
      <c r="AD46" s="482"/>
    </row>
    <row r="47" spans="1:30" s="479" customFormat="1" x14ac:dyDescent="0.15">
      <c r="A47" s="482"/>
      <c r="B47" s="530"/>
      <c r="C47" s="480"/>
      <c r="D47" s="480"/>
      <c r="E47" s="480"/>
      <c r="F47" s="480"/>
      <c r="G47" s="480"/>
      <c r="H47" s="480"/>
      <c r="I47" s="480"/>
      <c r="J47" s="480"/>
      <c r="K47" s="533"/>
      <c r="L47" s="480"/>
      <c r="M47" s="480"/>
      <c r="O47" s="480"/>
      <c r="P47" s="480"/>
      <c r="Q47" s="480"/>
      <c r="R47" s="480"/>
      <c r="S47" s="480"/>
      <c r="T47" s="480"/>
      <c r="U47" s="480"/>
      <c r="V47" s="480"/>
      <c r="W47" s="480"/>
      <c r="X47" s="480"/>
      <c r="Y47" s="480"/>
      <c r="Z47" s="480"/>
      <c r="AA47" s="482"/>
      <c r="AB47" s="482"/>
      <c r="AC47" s="482"/>
      <c r="AD47" s="482"/>
    </row>
    <row r="48" spans="1:30" s="479" customFormat="1" x14ac:dyDescent="0.15">
      <c r="A48" s="482"/>
      <c r="B48" s="530"/>
      <c r="C48" s="480"/>
      <c r="D48" s="480"/>
      <c r="E48" s="480"/>
      <c r="F48" s="480"/>
      <c r="G48" s="480"/>
      <c r="H48" s="480"/>
      <c r="I48" s="480"/>
      <c r="J48" s="480"/>
      <c r="K48" s="533"/>
      <c r="L48" s="480"/>
      <c r="M48" s="480"/>
      <c r="O48" s="480"/>
      <c r="P48" s="480"/>
      <c r="Q48" s="480"/>
      <c r="R48" s="480"/>
      <c r="S48" s="480"/>
      <c r="T48" s="480"/>
      <c r="U48" s="480"/>
      <c r="V48" s="480"/>
      <c r="W48" s="480"/>
      <c r="X48" s="480"/>
      <c r="Y48" s="480"/>
      <c r="Z48" s="480"/>
      <c r="AA48" s="482"/>
      <c r="AB48" s="482"/>
      <c r="AC48" s="482"/>
      <c r="AD48" s="482"/>
    </row>
    <row r="49" spans="1:30" s="479" customFormat="1" x14ac:dyDescent="0.15">
      <c r="A49" s="482"/>
      <c r="B49" s="530"/>
      <c r="C49" s="480"/>
      <c r="D49" s="480"/>
      <c r="E49" s="480"/>
      <c r="F49" s="480"/>
      <c r="G49" s="480"/>
      <c r="H49" s="480"/>
      <c r="I49" s="480"/>
      <c r="J49" s="480"/>
      <c r="K49" s="533"/>
      <c r="L49" s="480"/>
      <c r="M49" s="480"/>
      <c r="O49" s="480"/>
      <c r="P49" s="480"/>
      <c r="Q49" s="480"/>
      <c r="R49" s="480"/>
      <c r="S49" s="480"/>
      <c r="T49" s="480"/>
      <c r="U49" s="480"/>
      <c r="V49" s="480"/>
      <c r="W49" s="480"/>
      <c r="X49" s="480"/>
      <c r="Y49" s="480"/>
      <c r="Z49" s="480"/>
      <c r="AA49" s="482"/>
      <c r="AB49" s="482"/>
      <c r="AC49" s="482"/>
      <c r="AD49" s="482"/>
    </row>
  </sheetData>
  <mergeCells count="23">
    <mergeCell ref="J1:L1"/>
    <mergeCell ref="V1:X1"/>
    <mergeCell ref="B2:C3"/>
    <mergeCell ref="D2:F2"/>
    <mergeCell ref="G2:I2"/>
    <mergeCell ref="J2:L2"/>
    <mergeCell ref="N2:O3"/>
    <mergeCell ref="P2:R2"/>
    <mergeCell ref="S2:U2"/>
    <mergeCell ref="V2:X2"/>
    <mergeCell ref="B4:B9"/>
    <mergeCell ref="N4:N9"/>
    <mergeCell ref="B10:B15"/>
    <mergeCell ref="N10:N15"/>
    <mergeCell ref="B16:B21"/>
    <mergeCell ref="N16:N21"/>
    <mergeCell ref="N40:N45"/>
    <mergeCell ref="B22:B27"/>
    <mergeCell ref="N22:N27"/>
    <mergeCell ref="B28:B33"/>
    <mergeCell ref="N28:N33"/>
    <mergeCell ref="B34:B39"/>
    <mergeCell ref="N34:N39"/>
  </mergeCells>
  <phoneticPr fontId="11"/>
  <printOptions horizontalCentered="1"/>
  <pageMargins left="0.51181102362204722" right="0.59055118110236227" top="0.74803149606299213" bottom="0.74803149606299213" header="0" footer="0"/>
  <pageSetup paperSize="9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/>
  </sheetPr>
  <dimension ref="A1:N46"/>
  <sheetViews>
    <sheetView workbookViewId="0"/>
  </sheetViews>
  <sheetFormatPr defaultRowHeight="14.25" x14ac:dyDescent="0.15"/>
  <cols>
    <col min="1" max="1" width="7.5" style="8" customWidth="1"/>
    <col min="2" max="2" width="8.875" style="10" customWidth="1"/>
    <col min="3" max="3" width="8" style="8" customWidth="1"/>
    <col min="4" max="12" width="7.375" style="8" customWidth="1"/>
    <col min="13" max="13" width="5.125" style="17" customWidth="1"/>
    <col min="14" max="14" width="4.625" style="16" customWidth="1"/>
  </cols>
  <sheetData>
    <row r="1" spans="1:14" s="3" customFormat="1" ht="18" customHeight="1" x14ac:dyDescent="0.15">
      <c r="A1" s="365" t="s">
        <v>241</v>
      </c>
      <c r="B1" s="19"/>
      <c r="C1" s="19"/>
      <c r="D1" s="19"/>
      <c r="E1" s="19"/>
      <c r="F1" s="19"/>
      <c r="G1" s="19"/>
      <c r="H1" s="19"/>
      <c r="I1" s="19"/>
      <c r="J1" s="621" t="s">
        <v>90</v>
      </c>
      <c r="K1" s="621"/>
      <c r="L1" s="621"/>
      <c r="M1" s="134"/>
    </row>
    <row r="2" spans="1:14" ht="18" customHeight="1" x14ac:dyDescent="0.15">
      <c r="A2" s="87" t="s">
        <v>26</v>
      </c>
      <c r="B2" s="622" t="s">
        <v>110</v>
      </c>
      <c r="C2" s="623"/>
      <c r="D2" s="89" t="s">
        <v>103</v>
      </c>
      <c r="E2" s="90" t="s">
        <v>104</v>
      </c>
      <c r="F2" s="89" t="s">
        <v>105</v>
      </c>
      <c r="G2" s="87" t="s">
        <v>106</v>
      </c>
      <c r="H2" s="89" t="s">
        <v>107</v>
      </c>
      <c r="I2" s="88" t="s">
        <v>111</v>
      </c>
      <c r="J2" s="89" t="s">
        <v>108</v>
      </c>
      <c r="K2" s="89" t="s">
        <v>109</v>
      </c>
      <c r="L2" s="90" t="s">
        <v>10</v>
      </c>
      <c r="M2"/>
      <c r="N2"/>
    </row>
    <row r="3" spans="1:14" ht="15.75" customHeight="1" x14ac:dyDescent="0.15">
      <c r="A3" s="136"/>
      <c r="B3" s="612" t="s">
        <v>181</v>
      </c>
      <c r="C3" s="137" t="s">
        <v>13</v>
      </c>
      <c r="D3" s="153">
        <v>736</v>
      </c>
      <c r="E3" s="154">
        <v>602</v>
      </c>
      <c r="F3" s="153">
        <v>1038</v>
      </c>
      <c r="G3" s="155">
        <v>1525</v>
      </c>
      <c r="H3" s="153">
        <v>233</v>
      </c>
      <c r="I3" s="155">
        <f t="shared" ref="I3:I6" si="0">SUM(D3:H3)</f>
        <v>4134</v>
      </c>
      <c r="J3" s="153">
        <v>544</v>
      </c>
      <c r="K3" s="153">
        <v>186</v>
      </c>
      <c r="L3" s="141">
        <f>SUM(I3:K3)</f>
        <v>4864</v>
      </c>
      <c r="M3"/>
      <c r="N3"/>
    </row>
    <row r="4" spans="1:14" ht="15.75" customHeight="1" x14ac:dyDescent="0.15">
      <c r="A4" s="136"/>
      <c r="B4" s="613"/>
      <c r="C4" s="142" t="s">
        <v>34</v>
      </c>
      <c r="D4" s="143">
        <v>31</v>
      </c>
      <c r="E4" s="144">
        <v>33</v>
      </c>
      <c r="F4" s="143">
        <v>108</v>
      </c>
      <c r="G4" s="145">
        <v>141</v>
      </c>
      <c r="H4" s="143">
        <v>11</v>
      </c>
      <c r="I4" s="145">
        <f t="shared" si="0"/>
        <v>324</v>
      </c>
      <c r="J4" s="143">
        <v>47</v>
      </c>
      <c r="K4" s="143">
        <v>17</v>
      </c>
      <c r="L4" s="146">
        <f t="shared" ref="L4:L46" si="1">SUM(I4:K4)</f>
        <v>388</v>
      </c>
      <c r="M4"/>
      <c r="N4"/>
    </row>
    <row r="5" spans="1:14" ht="15.75" customHeight="1" x14ac:dyDescent="0.15">
      <c r="A5" s="136"/>
      <c r="B5" s="613"/>
      <c r="C5" s="142" t="s">
        <v>35</v>
      </c>
      <c r="D5" s="143">
        <v>365</v>
      </c>
      <c r="E5" s="144">
        <v>452</v>
      </c>
      <c r="F5" s="143">
        <v>850</v>
      </c>
      <c r="G5" s="145">
        <v>1263</v>
      </c>
      <c r="H5" s="143">
        <v>72</v>
      </c>
      <c r="I5" s="145">
        <f t="shared" si="0"/>
        <v>3002</v>
      </c>
      <c r="J5" s="143">
        <v>430</v>
      </c>
      <c r="K5" s="143">
        <v>126</v>
      </c>
      <c r="L5" s="146">
        <f>SUM(I5:K5)</f>
        <v>3558</v>
      </c>
      <c r="M5"/>
      <c r="N5"/>
    </row>
    <row r="6" spans="1:14" ht="15.75" customHeight="1" x14ac:dyDescent="0.15">
      <c r="A6" s="136"/>
      <c r="B6" s="613"/>
      <c r="C6" s="142" t="s">
        <v>36</v>
      </c>
      <c r="D6" s="143">
        <v>63</v>
      </c>
      <c r="E6" s="144">
        <v>50</v>
      </c>
      <c r="F6" s="143">
        <v>67</v>
      </c>
      <c r="G6" s="145">
        <v>111</v>
      </c>
      <c r="H6" s="143">
        <v>19</v>
      </c>
      <c r="I6" s="145">
        <f t="shared" si="0"/>
        <v>310</v>
      </c>
      <c r="J6" s="143">
        <v>49</v>
      </c>
      <c r="K6" s="143">
        <v>11</v>
      </c>
      <c r="L6" s="146">
        <f t="shared" si="1"/>
        <v>370</v>
      </c>
      <c r="M6"/>
      <c r="N6"/>
    </row>
    <row r="7" spans="1:14" ht="15.75" customHeight="1" x14ac:dyDescent="0.15">
      <c r="A7" s="147"/>
      <c r="B7" s="613"/>
      <c r="C7" s="148" t="s">
        <v>37</v>
      </c>
      <c r="D7" s="149">
        <f>SUM(D3:D6)</f>
        <v>1195</v>
      </c>
      <c r="E7" s="149">
        <f t="shared" ref="E7:K7" si="2">SUM(E3:E6)</f>
        <v>1137</v>
      </c>
      <c r="F7" s="149">
        <f t="shared" si="2"/>
        <v>2063</v>
      </c>
      <c r="G7" s="149">
        <f t="shared" si="2"/>
        <v>3040</v>
      </c>
      <c r="H7" s="149">
        <f t="shared" si="2"/>
        <v>335</v>
      </c>
      <c r="I7" s="149">
        <f t="shared" si="2"/>
        <v>7770</v>
      </c>
      <c r="J7" s="149">
        <f t="shared" si="2"/>
        <v>1070</v>
      </c>
      <c r="K7" s="149">
        <f t="shared" si="2"/>
        <v>340</v>
      </c>
      <c r="L7" s="151">
        <f t="shared" si="1"/>
        <v>9180</v>
      </c>
      <c r="M7"/>
      <c r="N7"/>
    </row>
    <row r="8" spans="1:14" ht="15.75" customHeight="1" x14ac:dyDescent="0.15">
      <c r="A8" s="147" t="s">
        <v>32</v>
      </c>
      <c r="B8" s="620" t="s">
        <v>182</v>
      </c>
      <c r="C8" s="152" t="s">
        <v>13</v>
      </c>
      <c r="D8" s="153">
        <v>1000</v>
      </c>
      <c r="E8" s="154">
        <v>120</v>
      </c>
      <c r="F8" s="153">
        <v>9</v>
      </c>
      <c r="G8" s="155">
        <v>25</v>
      </c>
      <c r="H8" s="153">
        <v>482</v>
      </c>
      <c r="I8" s="155">
        <f>SUM(D8:H8)</f>
        <v>1636</v>
      </c>
      <c r="J8" s="153">
        <v>91</v>
      </c>
      <c r="K8" s="153">
        <v>59</v>
      </c>
      <c r="L8" s="156">
        <f t="shared" si="1"/>
        <v>1786</v>
      </c>
      <c r="M8"/>
      <c r="N8"/>
    </row>
    <row r="9" spans="1:14" ht="15.75" customHeight="1" x14ac:dyDescent="0.15">
      <c r="A9" s="619" t="s">
        <v>132</v>
      </c>
      <c r="B9" s="612"/>
      <c r="C9" s="142" t="s">
        <v>34</v>
      </c>
      <c r="D9" s="143">
        <v>152</v>
      </c>
      <c r="E9" s="144">
        <v>22</v>
      </c>
      <c r="F9" s="143">
        <v>1</v>
      </c>
      <c r="G9" s="145">
        <v>1</v>
      </c>
      <c r="H9" s="143">
        <v>63</v>
      </c>
      <c r="I9" s="145">
        <f t="shared" ref="I9:I44" si="3">SUM(D9:H9)</f>
        <v>239</v>
      </c>
      <c r="J9" s="143">
        <v>11</v>
      </c>
      <c r="K9" s="143">
        <v>12</v>
      </c>
      <c r="L9" s="146">
        <f t="shared" si="1"/>
        <v>262</v>
      </c>
      <c r="M9"/>
      <c r="N9"/>
    </row>
    <row r="10" spans="1:14" ht="15.75" customHeight="1" x14ac:dyDescent="0.15">
      <c r="A10" s="619"/>
      <c r="B10" s="612"/>
      <c r="C10" s="142" t="s">
        <v>35</v>
      </c>
      <c r="D10" s="143">
        <v>1282</v>
      </c>
      <c r="E10" s="144">
        <v>209</v>
      </c>
      <c r="F10" s="143">
        <v>21</v>
      </c>
      <c r="G10" s="145">
        <v>17</v>
      </c>
      <c r="H10" s="143">
        <v>595</v>
      </c>
      <c r="I10" s="145">
        <f t="shared" si="3"/>
        <v>2124</v>
      </c>
      <c r="J10" s="143">
        <v>152</v>
      </c>
      <c r="K10" s="143">
        <v>83</v>
      </c>
      <c r="L10" s="146">
        <f t="shared" si="1"/>
        <v>2359</v>
      </c>
      <c r="M10"/>
      <c r="N10"/>
    </row>
    <row r="11" spans="1:14" ht="15.75" customHeight="1" x14ac:dyDescent="0.15">
      <c r="A11" s="147" t="s">
        <v>46</v>
      </c>
      <c r="B11" s="612"/>
      <c r="C11" s="148" t="s">
        <v>37</v>
      </c>
      <c r="D11" s="149">
        <f>SUM(D8:D10)</f>
        <v>2434</v>
      </c>
      <c r="E11" s="149">
        <f t="shared" ref="E11:K11" si="4">SUM(E8:E10)</f>
        <v>351</v>
      </c>
      <c r="F11" s="149">
        <f t="shared" si="4"/>
        <v>31</v>
      </c>
      <c r="G11" s="149">
        <f t="shared" si="4"/>
        <v>43</v>
      </c>
      <c r="H11" s="149">
        <f t="shared" si="4"/>
        <v>1140</v>
      </c>
      <c r="I11" s="149">
        <f t="shared" si="4"/>
        <v>3999</v>
      </c>
      <c r="J11" s="149">
        <f t="shared" si="4"/>
        <v>254</v>
      </c>
      <c r="K11" s="149">
        <f t="shared" si="4"/>
        <v>154</v>
      </c>
      <c r="L11" s="151">
        <f>SUM(I11:K11)</f>
        <v>4407</v>
      </c>
      <c r="M11"/>
      <c r="N11"/>
    </row>
    <row r="12" spans="1:14" ht="15.75" customHeight="1" x14ac:dyDescent="0.15">
      <c r="A12" s="136"/>
      <c r="B12" s="612" t="s">
        <v>84</v>
      </c>
      <c r="C12" s="152" t="s">
        <v>13</v>
      </c>
      <c r="D12" s="138">
        <v>345</v>
      </c>
      <c r="E12" s="139">
        <v>166</v>
      </c>
      <c r="F12" s="138">
        <v>224</v>
      </c>
      <c r="G12" s="140">
        <v>638</v>
      </c>
      <c r="H12" s="138">
        <v>191</v>
      </c>
      <c r="I12" s="140">
        <f>SUM(D12:H12)</f>
        <v>1564</v>
      </c>
      <c r="J12" s="138">
        <v>288</v>
      </c>
      <c r="K12" s="138">
        <v>99</v>
      </c>
      <c r="L12" s="156">
        <f t="shared" si="1"/>
        <v>1951</v>
      </c>
      <c r="M12"/>
      <c r="N12"/>
    </row>
    <row r="13" spans="1:14" ht="15.75" customHeight="1" x14ac:dyDescent="0.15">
      <c r="A13" s="136"/>
      <c r="B13" s="612"/>
      <c r="C13" s="142" t="s">
        <v>34</v>
      </c>
      <c r="D13" s="143">
        <v>71</v>
      </c>
      <c r="E13" s="144">
        <v>28</v>
      </c>
      <c r="F13" s="143">
        <v>33</v>
      </c>
      <c r="G13" s="145">
        <v>156</v>
      </c>
      <c r="H13" s="143">
        <v>33</v>
      </c>
      <c r="I13" s="145">
        <f t="shared" ref="I13:I15" si="5">SUM(D13:H13)</f>
        <v>321</v>
      </c>
      <c r="J13" s="143">
        <v>50</v>
      </c>
      <c r="K13" s="143">
        <v>18</v>
      </c>
      <c r="L13" s="146">
        <f t="shared" si="1"/>
        <v>389</v>
      </c>
      <c r="M13"/>
      <c r="N13"/>
    </row>
    <row r="14" spans="1:14" ht="15.75" customHeight="1" x14ac:dyDescent="0.15">
      <c r="A14" s="136"/>
      <c r="B14" s="612"/>
      <c r="C14" s="142" t="s">
        <v>35</v>
      </c>
      <c r="D14" s="143">
        <v>752</v>
      </c>
      <c r="E14" s="144">
        <v>480</v>
      </c>
      <c r="F14" s="143">
        <v>508</v>
      </c>
      <c r="G14" s="145">
        <v>1136</v>
      </c>
      <c r="H14" s="143">
        <v>450</v>
      </c>
      <c r="I14" s="145">
        <f t="shared" si="5"/>
        <v>3326</v>
      </c>
      <c r="J14" s="143">
        <v>1032</v>
      </c>
      <c r="K14" s="143">
        <v>103</v>
      </c>
      <c r="L14" s="146">
        <f t="shared" si="1"/>
        <v>4461</v>
      </c>
      <c r="M14"/>
      <c r="N14"/>
    </row>
    <row r="15" spans="1:14" ht="15.75" customHeight="1" x14ac:dyDescent="0.15">
      <c r="A15" s="136"/>
      <c r="B15" s="612"/>
      <c r="C15" s="142" t="s">
        <v>36</v>
      </c>
      <c r="D15" s="143">
        <v>308</v>
      </c>
      <c r="E15" s="144">
        <v>218</v>
      </c>
      <c r="F15" s="143">
        <v>198</v>
      </c>
      <c r="G15" s="145">
        <v>450</v>
      </c>
      <c r="H15" s="143">
        <v>201</v>
      </c>
      <c r="I15" s="145">
        <f t="shared" si="5"/>
        <v>1375</v>
      </c>
      <c r="J15" s="143">
        <v>416</v>
      </c>
      <c r="K15" s="143">
        <v>62</v>
      </c>
      <c r="L15" s="146">
        <f t="shared" si="1"/>
        <v>1853</v>
      </c>
      <c r="M15"/>
      <c r="N15"/>
    </row>
    <row r="16" spans="1:14" ht="15.75" customHeight="1" x14ac:dyDescent="0.15">
      <c r="A16" s="136"/>
      <c r="B16" s="612"/>
      <c r="C16" s="148" t="s">
        <v>37</v>
      </c>
      <c r="D16" s="149">
        <f>SUM(D12:D15)</f>
        <v>1476</v>
      </c>
      <c r="E16" s="149">
        <f t="shared" ref="E16" si="6">SUM(E12:E15)</f>
        <v>892</v>
      </c>
      <c r="F16" s="149">
        <f t="shared" ref="F16" si="7">SUM(F12:F15)</f>
        <v>963</v>
      </c>
      <c r="G16" s="149">
        <f t="shared" ref="G16" si="8">SUM(G12:G15)</f>
        <v>2380</v>
      </c>
      <c r="H16" s="149">
        <f t="shared" ref="H16" si="9">SUM(H12:H15)</f>
        <v>875</v>
      </c>
      <c r="I16" s="149">
        <f t="shared" ref="I16" si="10">SUM(I12:I15)</f>
        <v>6586</v>
      </c>
      <c r="J16" s="149">
        <f t="shared" ref="J16" si="11">SUM(J12:J15)</f>
        <v>1786</v>
      </c>
      <c r="K16" s="149">
        <f t="shared" ref="K16" si="12">SUM(K12:K15)</f>
        <v>282</v>
      </c>
      <c r="L16" s="151">
        <f t="shared" si="1"/>
        <v>8654</v>
      </c>
      <c r="M16"/>
      <c r="N16"/>
    </row>
    <row r="17" spans="1:14" ht="15.75" customHeight="1" x14ac:dyDescent="0.15">
      <c r="A17" s="157"/>
      <c r="B17" s="612" t="s">
        <v>181</v>
      </c>
      <c r="C17" s="152" t="s">
        <v>13</v>
      </c>
      <c r="D17" s="138">
        <v>904</v>
      </c>
      <c r="E17" s="139">
        <v>806</v>
      </c>
      <c r="F17" s="138">
        <v>1291</v>
      </c>
      <c r="G17" s="140">
        <v>2230</v>
      </c>
      <c r="H17" s="138">
        <v>304</v>
      </c>
      <c r="I17" s="140">
        <f>SUM(D17:H17)</f>
        <v>5535</v>
      </c>
      <c r="J17" s="138">
        <v>582</v>
      </c>
      <c r="K17" s="138">
        <v>297</v>
      </c>
      <c r="L17" s="156">
        <f t="shared" si="1"/>
        <v>6414</v>
      </c>
      <c r="M17"/>
      <c r="N17"/>
    </row>
    <row r="18" spans="1:14" ht="15.75" customHeight="1" x14ac:dyDescent="0.15">
      <c r="A18" s="136"/>
      <c r="B18" s="613"/>
      <c r="C18" s="142" t="s">
        <v>34</v>
      </c>
      <c r="D18" s="143">
        <v>60</v>
      </c>
      <c r="E18" s="144">
        <v>66</v>
      </c>
      <c r="F18" s="143">
        <v>172</v>
      </c>
      <c r="G18" s="145">
        <v>219</v>
      </c>
      <c r="H18" s="143">
        <v>17</v>
      </c>
      <c r="I18" s="145">
        <f t="shared" ref="I18:I20" si="13">SUM(D18:H18)</f>
        <v>534</v>
      </c>
      <c r="J18" s="143">
        <v>42</v>
      </c>
      <c r="K18" s="143">
        <v>16</v>
      </c>
      <c r="L18" s="146">
        <f t="shared" si="1"/>
        <v>592</v>
      </c>
      <c r="M18"/>
      <c r="N18"/>
    </row>
    <row r="19" spans="1:14" ht="15.75" customHeight="1" x14ac:dyDescent="0.15">
      <c r="A19" s="136"/>
      <c r="B19" s="613"/>
      <c r="C19" s="142" t="s">
        <v>35</v>
      </c>
      <c r="D19" s="143">
        <v>462</v>
      </c>
      <c r="E19" s="144">
        <v>540</v>
      </c>
      <c r="F19" s="143">
        <v>944</v>
      </c>
      <c r="G19" s="145">
        <v>1468</v>
      </c>
      <c r="H19" s="143">
        <v>94</v>
      </c>
      <c r="I19" s="145">
        <f t="shared" si="13"/>
        <v>3508</v>
      </c>
      <c r="J19" s="143">
        <v>470</v>
      </c>
      <c r="K19" s="143">
        <v>133</v>
      </c>
      <c r="L19" s="146">
        <f t="shared" si="1"/>
        <v>4111</v>
      </c>
      <c r="M19"/>
      <c r="N19"/>
    </row>
    <row r="20" spans="1:14" ht="15.75" customHeight="1" x14ac:dyDescent="0.15">
      <c r="A20" s="136"/>
      <c r="B20" s="613"/>
      <c r="C20" s="142" t="s">
        <v>36</v>
      </c>
      <c r="D20" s="143">
        <v>102</v>
      </c>
      <c r="E20" s="144">
        <v>51</v>
      </c>
      <c r="F20" s="143">
        <v>98</v>
      </c>
      <c r="G20" s="145">
        <v>139</v>
      </c>
      <c r="H20" s="143">
        <v>20</v>
      </c>
      <c r="I20" s="145">
        <f t="shared" si="13"/>
        <v>410</v>
      </c>
      <c r="J20" s="143">
        <v>48</v>
      </c>
      <c r="K20" s="143">
        <v>27</v>
      </c>
      <c r="L20" s="146">
        <f t="shared" si="1"/>
        <v>485</v>
      </c>
      <c r="M20"/>
      <c r="N20"/>
    </row>
    <row r="21" spans="1:14" ht="15.75" customHeight="1" x14ac:dyDescent="0.15">
      <c r="A21" s="147"/>
      <c r="B21" s="613"/>
      <c r="C21" s="148" t="s">
        <v>37</v>
      </c>
      <c r="D21" s="149">
        <f>SUM(D17:D20)</f>
        <v>1528</v>
      </c>
      <c r="E21" s="149">
        <f t="shared" ref="E21" si="14">SUM(E17:E20)</f>
        <v>1463</v>
      </c>
      <c r="F21" s="149">
        <f t="shared" ref="F21" si="15">SUM(F17:F20)</f>
        <v>2505</v>
      </c>
      <c r="G21" s="149">
        <f t="shared" ref="G21" si="16">SUM(G17:G20)</f>
        <v>4056</v>
      </c>
      <c r="H21" s="149">
        <f t="shared" ref="H21" si="17">SUM(H17:H20)</f>
        <v>435</v>
      </c>
      <c r="I21" s="149">
        <f t="shared" ref="I21" si="18">SUM(I17:I20)</f>
        <v>9987</v>
      </c>
      <c r="J21" s="149">
        <f t="shared" ref="J21" si="19">SUM(J17:J20)</f>
        <v>1142</v>
      </c>
      <c r="K21" s="149">
        <f t="shared" ref="K21" si="20">SUM(K17:K20)</f>
        <v>473</v>
      </c>
      <c r="L21" s="151">
        <f t="shared" ref="L21:L24" si="21">SUM(I21:K21)</f>
        <v>11602</v>
      </c>
      <c r="M21"/>
      <c r="N21"/>
    </row>
    <row r="22" spans="1:14" ht="15.75" customHeight="1" x14ac:dyDescent="0.15">
      <c r="A22" s="147" t="s">
        <v>33</v>
      </c>
      <c r="B22" s="612" t="s">
        <v>182</v>
      </c>
      <c r="C22" s="152" t="s">
        <v>13</v>
      </c>
      <c r="D22" s="153">
        <v>1873</v>
      </c>
      <c r="E22" s="154">
        <v>257</v>
      </c>
      <c r="F22" s="153">
        <v>21</v>
      </c>
      <c r="G22" s="155">
        <v>37</v>
      </c>
      <c r="H22" s="153">
        <v>1042</v>
      </c>
      <c r="I22" s="155">
        <f>SUM(D22:H22)</f>
        <v>3230</v>
      </c>
      <c r="J22" s="153">
        <v>141</v>
      </c>
      <c r="K22" s="153">
        <v>161</v>
      </c>
      <c r="L22" s="156">
        <f t="shared" si="21"/>
        <v>3532</v>
      </c>
      <c r="M22"/>
      <c r="N22"/>
    </row>
    <row r="23" spans="1:14" ht="15.75" customHeight="1" x14ac:dyDescent="0.15">
      <c r="A23" s="619" t="s">
        <v>132</v>
      </c>
      <c r="B23" s="612"/>
      <c r="C23" s="142" t="s">
        <v>34</v>
      </c>
      <c r="D23" s="143">
        <v>246</v>
      </c>
      <c r="E23" s="144">
        <v>29</v>
      </c>
      <c r="F23" s="143"/>
      <c r="G23" s="145">
        <v>5</v>
      </c>
      <c r="H23" s="143">
        <v>130</v>
      </c>
      <c r="I23" s="145">
        <f t="shared" ref="I23:I24" si="22">SUM(D23:H23)</f>
        <v>410</v>
      </c>
      <c r="J23" s="143">
        <v>10</v>
      </c>
      <c r="K23" s="143">
        <v>13</v>
      </c>
      <c r="L23" s="146">
        <f t="shared" si="21"/>
        <v>433</v>
      </c>
      <c r="M23"/>
      <c r="N23"/>
    </row>
    <row r="24" spans="1:14" ht="15.75" customHeight="1" x14ac:dyDescent="0.15">
      <c r="A24" s="619"/>
      <c r="B24" s="612"/>
      <c r="C24" s="142" t="s">
        <v>35</v>
      </c>
      <c r="D24" s="143">
        <v>1420</v>
      </c>
      <c r="E24" s="144">
        <v>211</v>
      </c>
      <c r="F24" s="143">
        <v>19</v>
      </c>
      <c r="G24" s="145">
        <v>41</v>
      </c>
      <c r="H24" s="143">
        <v>783</v>
      </c>
      <c r="I24" s="145">
        <f t="shared" si="22"/>
        <v>2474</v>
      </c>
      <c r="J24" s="143">
        <v>164</v>
      </c>
      <c r="K24" s="143">
        <v>100</v>
      </c>
      <c r="L24" s="146">
        <f t="shared" si="21"/>
        <v>2738</v>
      </c>
      <c r="M24"/>
      <c r="N24"/>
    </row>
    <row r="25" spans="1:14" ht="15.75" customHeight="1" x14ac:dyDescent="0.15">
      <c r="A25" s="147" t="s">
        <v>47</v>
      </c>
      <c r="B25" s="612"/>
      <c r="C25" s="148" t="s">
        <v>37</v>
      </c>
      <c r="D25" s="149">
        <f>SUM(D22:D24)</f>
        <v>3539</v>
      </c>
      <c r="E25" s="149">
        <f t="shared" ref="E25" si="23">SUM(E22:E24)</f>
        <v>497</v>
      </c>
      <c r="F25" s="149">
        <f t="shared" ref="F25" si="24">SUM(F22:F24)</f>
        <v>40</v>
      </c>
      <c r="G25" s="149">
        <f t="shared" ref="G25" si="25">SUM(G22:G24)</f>
        <v>83</v>
      </c>
      <c r="H25" s="149">
        <f t="shared" ref="H25" si="26">SUM(H22:H24)</f>
        <v>1955</v>
      </c>
      <c r="I25" s="149">
        <f t="shared" ref="I25" si="27">SUM(I22:I24)</f>
        <v>6114</v>
      </c>
      <c r="J25" s="149">
        <f t="shared" ref="J25" si="28">SUM(J22:J24)</f>
        <v>315</v>
      </c>
      <c r="K25" s="149">
        <f t="shared" ref="K25" si="29">SUM(K22:K24)</f>
        <v>274</v>
      </c>
      <c r="L25" s="151">
        <f>SUM(I25:K25)</f>
        <v>6703</v>
      </c>
      <c r="M25"/>
      <c r="N25"/>
    </row>
    <row r="26" spans="1:14" ht="15.75" customHeight="1" x14ac:dyDescent="0.15">
      <c r="A26" s="136"/>
      <c r="B26" s="620" t="s">
        <v>84</v>
      </c>
      <c r="C26" s="152" t="s">
        <v>13</v>
      </c>
      <c r="D26" s="138">
        <v>546</v>
      </c>
      <c r="E26" s="139">
        <v>247</v>
      </c>
      <c r="F26" s="138">
        <v>308</v>
      </c>
      <c r="G26" s="140">
        <v>892</v>
      </c>
      <c r="H26" s="138">
        <v>306</v>
      </c>
      <c r="I26" s="140">
        <f>SUM(D26:H26)</f>
        <v>2299</v>
      </c>
      <c r="J26" s="138">
        <v>362</v>
      </c>
      <c r="K26" s="138">
        <v>138</v>
      </c>
      <c r="L26" s="156">
        <f t="shared" ref="L26:L30" si="30">SUM(I26:K26)</f>
        <v>2799</v>
      </c>
      <c r="M26"/>
      <c r="N26"/>
    </row>
    <row r="27" spans="1:14" ht="15.75" customHeight="1" x14ac:dyDescent="0.15">
      <c r="A27" s="136"/>
      <c r="B27" s="612"/>
      <c r="C27" s="142" t="s">
        <v>34</v>
      </c>
      <c r="D27" s="143">
        <v>102</v>
      </c>
      <c r="E27" s="144">
        <v>23</v>
      </c>
      <c r="F27" s="143">
        <v>67</v>
      </c>
      <c r="G27" s="145">
        <v>188</v>
      </c>
      <c r="H27" s="143">
        <v>39</v>
      </c>
      <c r="I27" s="145">
        <f t="shared" ref="I27:I29" si="31">SUM(D27:H27)</f>
        <v>419</v>
      </c>
      <c r="J27" s="143">
        <v>63</v>
      </c>
      <c r="K27" s="143">
        <v>9</v>
      </c>
      <c r="L27" s="146">
        <f t="shared" si="30"/>
        <v>491</v>
      </c>
      <c r="M27"/>
      <c r="N27"/>
    </row>
    <row r="28" spans="1:14" ht="15.75" customHeight="1" x14ac:dyDescent="0.15">
      <c r="A28" s="136"/>
      <c r="B28" s="612"/>
      <c r="C28" s="142" t="s">
        <v>35</v>
      </c>
      <c r="D28" s="143">
        <v>834</v>
      </c>
      <c r="E28" s="144">
        <v>543</v>
      </c>
      <c r="F28" s="143">
        <v>496</v>
      </c>
      <c r="G28" s="145">
        <v>1220</v>
      </c>
      <c r="H28" s="143">
        <v>467</v>
      </c>
      <c r="I28" s="145">
        <f t="shared" si="31"/>
        <v>3560</v>
      </c>
      <c r="J28" s="143">
        <v>991</v>
      </c>
      <c r="K28" s="143">
        <v>105</v>
      </c>
      <c r="L28" s="146">
        <f t="shared" si="30"/>
        <v>4656</v>
      </c>
      <c r="M28"/>
      <c r="N28"/>
    </row>
    <row r="29" spans="1:14" ht="15.75" customHeight="1" x14ac:dyDescent="0.15">
      <c r="A29" s="136"/>
      <c r="B29" s="612"/>
      <c r="C29" s="142" t="s">
        <v>36</v>
      </c>
      <c r="D29" s="143">
        <v>325</v>
      </c>
      <c r="E29" s="144">
        <v>230</v>
      </c>
      <c r="F29" s="143">
        <v>189</v>
      </c>
      <c r="G29" s="145">
        <v>402</v>
      </c>
      <c r="H29" s="143">
        <v>203</v>
      </c>
      <c r="I29" s="145">
        <f t="shared" si="31"/>
        <v>1349</v>
      </c>
      <c r="J29" s="143">
        <v>395</v>
      </c>
      <c r="K29" s="143">
        <v>47</v>
      </c>
      <c r="L29" s="146">
        <f t="shared" si="30"/>
        <v>1791</v>
      </c>
      <c r="M29"/>
      <c r="N29"/>
    </row>
    <row r="30" spans="1:14" ht="15.75" customHeight="1" x14ac:dyDescent="0.15">
      <c r="A30" s="158"/>
      <c r="B30" s="612"/>
      <c r="C30" s="148" t="s">
        <v>37</v>
      </c>
      <c r="D30" s="149">
        <f>SUM(D26:D29)</f>
        <v>1807</v>
      </c>
      <c r="E30" s="149">
        <f t="shared" ref="E30" si="32">SUM(E26:E29)</f>
        <v>1043</v>
      </c>
      <c r="F30" s="149">
        <f t="shared" ref="F30" si="33">SUM(F26:F29)</f>
        <v>1060</v>
      </c>
      <c r="G30" s="149">
        <f t="shared" ref="G30" si="34">SUM(G26:G29)</f>
        <v>2702</v>
      </c>
      <c r="H30" s="149">
        <f t="shared" ref="H30" si="35">SUM(H26:H29)</f>
        <v>1015</v>
      </c>
      <c r="I30" s="149">
        <f t="shared" ref="I30" si="36">SUM(I26:I29)</f>
        <v>7627</v>
      </c>
      <c r="J30" s="149">
        <f t="shared" ref="J30" si="37">SUM(J26:J29)</f>
        <v>1811</v>
      </c>
      <c r="K30" s="149">
        <f t="shared" ref="K30" si="38">SUM(K26:K29)</f>
        <v>299</v>
      </c>
      <c r="L30" s="151">
        <f t="shared" si="30"/>
        <v>9737</v>
      </c>
      <c r="M30"/>
      <c r="N30"/>
    </row>
    <row r="31" spans="1:14" ht="15.75" customHeight="1" x14ac:dyDescent="0.15">
      <c r="A31" s="610" t="s">
        <v>48</v>
      </c>
      <c r="B31" s="612" t="s">
        <v>181</v>
      </c>
      <c r="C31" s="152" t="s">
        <v>13</v>
      </c>
      <c r="D31" s="153">
        <f>+D3+D17</f>
        <v>1640</v>
      </c>
      <c r="E31" s="153">
        <f t="shared" ref="E31:H31" si="39">+E3+E17</f>
        <v>1408</v>
      </c>
      <c r="F31" s="153">
        <f t="shared" si="39"/>
        <v>2329</v>
      </c>
      <c r="G31" s="153">
        <f t="shared" si="39"/>
        <v>3755</v>
      </c>
      <c r="H31" s="153">
        <f t="shared" si="39"/>
        <v>537</v>
      </c>
      <c r="I31" s="155">
        <f t="shared" si="3"/>
        <v>9669</v>
      </c>
      <c r="J31" s="153">
        <f t="shared" ref="J31:K34" si="40">+J3+J17</f>
        <v>1126</v>
      </c>
      <c r="K31" s="153">
        <f t="shared" si="40"/>
        <v>483</v>
      </c>
      <c r="L31" s="156">
        <f t="shared" si="1"/>
        <v>11278</v>
      </c>
      <c r="M31"/>
      <c r="N31"/>
    </row>
    <row r="32" spans="1:14" ht="15.75" customHeight="1" x14ac:dyDescent="0.15">
      <c r="A32" s="610"/>
      <c r="B32" s="613"/>
      <c r="C32" s="142" t="s">
        <v>34</v>
      </c>
      <c r="D32" s="153">
        <f t="shared" ref="D32:H34" si="41">+D4+D18</f>
        <v>91</v>
      </c>
      <c r="E32" s="153">
        <f t="shared" si="41"/>
        <v>99</v>
      </c>
      <c r="F32" s="153">
        <f t="shared" si="41"/>
        <v>280</v>
      </c>
      <c r="G32" s="153">
        <f t="shared" si="41"/>
        <v>360</v>
      </c>
      <c r="H32" s="153">
        <f t="shared" si="41"/>
        <v>28</v>
      </c>
      <c r="I32" s="145">
        <f t="shared" si="3"/>
        <v>858</v>
      </c>
      <c r="J32" s="153">
        <f t="shared" si="40"/>
        <v>89</v>
      </c>
      <c r="K32" s="153">
        <f t="shared" si="40"/>
        <v>33</v>
      </c>
      <c r="L32" s="146">
        <f t="shared" si="1"/>
        <v>980</v>
      </c>
    </row>
    <row r="33" spans="1:12" ht="15.75" customHeight="1" x14ac:dyDescent="0.15">
      <c r="A33" s="610"/>
      <c r="B33" s="613"/>
      <c r="C33" s="142" t="s">
        <v>35</v>
      </c>
      <c r="D33" s="153">
        <f t="shared" si="41"/>
        <v>827</v>
      </c>
      <c r="E33" s="153">
        <f t="shared" si="41"/>
        <v>992</v>
      </c>
      <c r="F33" s="153">
        <f t="shared" si="41"/>
        <v>1794</v>
      </c>
      <c r="G33" s="153">
        <f t="shared" si="41"/>
        <v>2731</v>
      </c>
      <c r="H33" s="153">
        <f t="shared" si="41"/>
        <v>166</v>
      </c>
      <c r="I33" s="145">
        <f t="shared" si="3"/>
        <v>6510</v>
      </c>
      <c r="J33" s="153">
        <f t="shared" si="40"/>
        <v>900</v>
      </c>
      <c r="K33" s="153">
        <f t="shared" si="40"/>
        <v>259</v>
      </c>
      <c r="L33" s="146">
        <f t="shared" si="1"/>
        <v>7669</v>
      </c>
    </row>
    <row r="34" spans="1:12" ht="15.75" customHeight="1" x14ac:dyDescent="0.15">
      <c r="A34" s="610"/>
      <c r="B34" s="613"/>
      <c r="C34" s="142" t="s">
        <v>36</v>
      </c>
      <c r="D34" s="153">
        <f t="shared" si="41"/>
        <v>165</v>
      </c>
      <c r="E34" s="153">
        <f t="shared" si="41"/>
        <v>101</v>
      </c>
      <c r="F34" s="153">
        <f t="shared" si="41"/>
        <v>165</v>
      </c>
      <c r="G34" s="153">
        <f t="shared" si="41"/>
        <v>250</v>
      </c>
      <c r="H34" s="153">
        <f t="shared" si="41"/>
        <v>39</v>
      </c>
      <c r="I34" s="145">
        <f t="shared" si="3"/>
        <v>720</v>
      </c>
      <c r="J34" s="153">
        <f t="shared" si="40"/>
        <v>97</v>
      </c>
      <c r="K34" s="153">
        <f t="shared" si="40"/>
        <v>38</v>
      </c>
      <c r="L34" s="146">
        <f t="shared" si="1"/>
        <v>855</v>
      </c>
    </row>
    <row r="35" spans="1:12" ht="15.75" customHeight="1" x14ac:dyDescent="0.15">
      <c r="A35" s="610"/>
      <c r="B35" s="613"/>
      <c r="C35" s="148" t="s">
        <v>37</v>
      </c>
      <c r="D35" s="149">
        <f>SUM(D31:D34)</f>
        <v>2723</v>
      </c>
      <c r="E35" s="149">
        <f t="shared" ref="E35:H35" si="42">SUM(E31:E34)</f>
        <v>2600</v>
      </c>
      <c r="F35" s="149">
        <f t="shared" si="42"/>
        <v>4568</v>
      </c>
      <c r="G35" s="149">
        <f t="shared" si="42"/>
        <v>7096</v>
      </c>
      <c r="H35" s="149">
        <f t="shared" si="42"/>
        <v>770</v>
      </c>
      <c r="I35" s="150">
        <f t="shared" si="3"/>
        <v>17757</v>
      </c>
      <c r="J35" s="149">
        <f t="shared" ref="J35" si="43">SUM(J31:J34)</f>
        <v>2212</v>
      </c>
      <c r="K35" s="149">
        <f>SUM(K31:K34)</f>
        <v>813</v>
      </c>
      <c r="L35" s="151">
        <f t="shared" si="1"/>
        <v>20782</v>
      </c>
    </row>
    <row r="36" spans="1:12" ht="15.75" customHeight="1" x14ac:dyDescent="0.15">
      <c r="A36" s="610"/>
      <c r="B36" s="612" t="s">
        <v>182</v>
      </c>
      <c r="C36" s="152" t="s">
        <v>13</v>
      </c>
      <c r="D36" s="153">
        <f>+D8+D22</f>
        <v>2873</v>
      </c>
      <c r="E36" s="153">
        <f t="shared" ref="E36:H36" si="44">+E8+E22</f>
        <v>377</v>
      </c>
      <c r="F36" s="153">
        <f t="shared" si="44"/>
        <v>30</v>
      </c>
      <c r="G36" s="153">
        <f t="shared" si="44"/>
        <v>62</v>
      </c>
      <c r="H36" s="153">
        <f t="shared" si="44"/>
        <v>1524</v>
      </c>
      <c r="I36" s="155">
        <f t="shared" si="3"/>
        <v>4866</v>
      </c>
      <c r="J36" s="153">
        <f t="shared" ref="J36:K38" si="45">+J8+J22</f>
        <v>232</v>
      </c>
      <c r="K36" s="153">
        <f t="shared" si="45"/>
        <v>220</v>
      </c>
      <c r="L36" s="156">
        <f t="shared" si="1"/>
        <v>5318</v>
      </c>
    </row>
    <row r="37" spans="1:12" ht="15.75" customHeight="1" x14ac:dyDescent="0.15">
      <c r="A37" s="610"/>
      <c r="B37" s="612"/>
      <c r="C37" s="142" t="s">
        <v>34</v>
      </c>
      <c r="D37" s="153">
        <f t="shared" ref="D37:H38" si="46">+D9+D23</f>
        <v>398</v>
      </c>
      <c r="E37" s="153">
        <f t="shared" si="46"/>
        <v>51</v>
      </c>
      <c r="F37" s="153">
        <f t="shared" si="46"/>
        <v>1</v>
      </c>
      <c r="G37" s="153">
        <f t="shared" si="46"/>
        <v>6</v>
      </c>
      <c r="H37" s="153">
        <f t="shared" si="46"/>
        <v>193</v>
      </c>
      <c r="I37" s="145">
        <f t="shared" si="3"/>
        <v>649</v>
      </c>
      <c r="J37" s="153">
        <f t="shared" si="45"/>
        <v>21</v>
      </c>
      <c r="K37" s="153">
        <f t="shared" si="45"/>
        <v>25</v>
      </c>
      <c r="L37" s="146">
        <f t="shared" si="1"/>
        <v>695</v>
      </c>
    </row>
    <row r="38" spans="1:12" ht="15.75" customHeight="1" x14ac:dyDescent="0.15">
      <c r="A38" s="610"/>
      <c r="B38" s="612"/>
      <c r="C38" s="142" t="s">
        <v>35</v>
      </c>
      <c r="D38" s="153">
        <f t="shared" si="46"/>
        <v>2702</v>
      </c>
      <c r="E38" s="153">
        <f t="shared" si="46"/>
        <v>420</v>
      </c>
      <c r="F38" s="153">
        <f t="shared" si="46"/>
        <v>40</v>
      </c>
      <c r="G38" s="153">
        <f t="shared" si="46"/>
        <v>58</v>
      </c>
      <c r="H38" s="153">
        <f t="shared" si="46"/>
        <v>1378</v>
      </c>
      <c r="I38" s="145">
        <f t="shared" si="3"/>
        <v>4598</v>
      </c>
      <c r="J38" s="153">
        <f t="shared" si="45"/>
        <v>316</v>
      </c>
      <c r="K38" s="153">
        <f t="shared" si="45"/>
        <v>183</v>
      </c>
      <c r="L38" s="146">
        <f t="shared" si="1"/>
        <v>5097</v>
      </c>
    </row>
    <row r="39" spans="1:12" ht="15.75" customHeight="1" x14ac:dyDescent="0.15">
      <c r="A39" s="610"/>
      <c r="B39" s="612"/>
      <c r="C39" s="148" t="s">
        <v>37</v>
      </c>
      <c r="D39" s="149">
        <f>SUM(D36:D38)</f>
        <v>5973</v>
      </c>
      <c r="E39" s="149">
        <f t="shared" ref="E39:L39" si="47">SUM(E36:E38)</f>
        <v>848</v>
      </c>
      <c r="F39" s="149">
        <f t="shared" si="47"/>
        <v>71</v>
      </c>
      <c r="G39" s="149">
        <f t="shared" si="47"/>
        <v>126</v>
      </c>
      <c r="H39" s="149">
        <f t="shared" si="47"/>
        <v>3095</v>
      </c>
      <c r="I39" s="149">
        <f t="shared" si="47"/>
        <v>10113</v>
      </c>
      <c r="J39" s="149">
        <f t="shared" si="47"/>
        <v>569</v>
      </c>
      <c r="K39" s="149">
        <f t="shared" si="47"/>
        <v>428</v>
      </c>
      <c r="L39" s="149">
        <f t="shared" si="47"/>
        <v>11110</v>
      </c>
    </row>
    <row r="40" spans="1:12" ht="15.75" customHeight="1" x14ac:dyDescent="0.15">
      <c r="A40" s="610"/>
      <c r="B40" s="612" t="s">
        <v>84</v>
      </c>
      <c r="C40" s="152" t="s">
        <v>13</v>
      </c>
      <c r="D40" s="153">
        <f>+D12+D26</f>
        <v>891</v>
      </c>
      <c r="E40" s="153">
        <f t="shared" ref="E40:H40" si="48">+E12+E26</f>
        <v>413</v>
      </c>
      <c r="F40" s="153">
        <f t="shared" si="48"/>
        <v>532</v>
      </c>
      <c r="G40" s="153">
        <f t="shared" si="48"/>
        <v>1530</v>
      </c>
      <c r="H40" s="153">
        <f t="shared" si="48"/>
        <v>497</v>
      </c>
      <c r="I40" s="155">
        <f t="shared" ref="I40:I43" si="49">SUM(D40:H40)</f>
        <v>3863</v>
      </c>
      <c r="J40" s="153">
        <f t="shared" ref="J40:K43" si="50">+J12+J26</f>
        <v>650</v>
      </c>
      <c r="K40" s="153">
        <f t="shared" si="50"/>
        <v>237</v>
      </c>
      <c r="L40" s="156">
        <f t="shared" ref="L40:L43" si="51">SUM(I40:K40)</f>
        <v>4750</v>
      </c>
    </row>
    <row r="41" spans="1:12" ht="15.75" customHeight="1" x14ac:dyDescent="0.15">
      <c r="A41" s="610"/>
      <c r="B41" s="612"/>
      <c r="C41" s="142" t="s">
        <v>34</v>
      </c>
      <c r="D41" s="153">
        <f t="shared" ref="D41:H43" si="52">+D13+D27</f>
        <v>173</v>
      </c>
      <c r="E41" s="153">
        <f t="shared" si="52"/>
        <v>51</v>
      </c>
      <c r="F41" s="153">
        <f t="shared" si="52"/>
        <v>100</v>
      </c>
      <c r="G41" s="153">
        <f t="shared" si="52"/>
        <v>344</v>
      </c>
      <c r="H41" s="153">
        <f t="shared" si="52"/>
        <v>72</v>
      </c>
      <c r="I41" s="145">
        <f t="shared" si="49"/>
        <v>740</v>
      </c>
      <c r="J41" s="153">
        <f t="shared" si="50"/>
        <v>113</v>
      </c>
      <c r="K41" s="153">
        <f t="shared" si="50"/>
        <v>27</v>
      </c>
      <c r="L41" s="146">
        <f t="shared" si="51"/>
        <v>880</v>
      </c>
    </row>
    <row r="42" spans="1:12" ht="15.75" customHeight="1" x14ac:dyDescent="0.15">
      <c r="A42" s="610"/>
      <c r="B42" s="612"/>
      <c r="C42" s="142" t="s">
        <v>35</v>
      </c>
      <c r="D42" s="153">
        <f t="shared" si="52"/>
        <v>1586</v>
      </c>
      <c r="E42" s="153">
        <f t="shared" si="52"/>
        <v>1023</v>
      </c>
      <c r="F42" s="153">
        <f t="shared" si="52"/>
        <v>1004</v>
      </c>
      <c r="G42" s="153">
        <f t="shared" si="52"/>
        <v>2356</v>
      </c>
      <c r="H42" s="153">
        <f t="shared" si="52"/>
        <v>917</v>
      </c>
      <c r="I42" s="145">
        <f t="shared" si="49"/>
        <v>6886</v>
      </c>
      <c r="J42" s="153">
        <f t="shared" si="50"/>
        <v>2023</v>
      </c>
      <c r="K42" s="153">
        <f t="shared" si="50"/>
        <v>208</v>
      </c>
      <c r="L42" s="146">
        <f t="shared" si="51"/>
        <v>9117</v>
      </c>
    </row>
    <row r="43" spans="1:12" ht="15.75" customHeight="1" x14ac:dyDescent="0.15">
      <c r="A43" s="610"/>
      <c r="B43" s="612"/>
      <c r="C43" s="142" t="s">
        <v>36</v>
      </c>
      <c r="D43" s="153">
        <f t="shared" si="52"/>
        <v>633</v>
      </c>
      <c r="E43" s="153">
        <f t="shared" si="52"/>
        <v>448</v>
      </c>
      <c r="F43" s="153">
        <f t="shared" si="52"/>
        <v>387</v>
      </c>
      <c r="G43" s="153">
        <f t="shared" si="52"/>
        <v>852</v>
      </c>
      <c r="H43" s="153">
        <f t="shared" si="52"/>
        <v>404</v>
      </c>
      <c r="I43" s="145">
        <f t="shared" si="49"/>
        <v>2724</v>
      </c>
      <c r="J43" s="153">
        <f t="shared" si="50"/>
        <v>811</v>
      </c>
      <c r="K43" s="153">
        <f t="shared" si="50"/>
        <v>109</v>
      </c>
      <c r="L43" s="146">
        <f t="shared" si="51"/>
        <v>3644</v>
      </c>
    </row>
    <row r="44" spans="1:12" ht="15.75" customHeight="1" thickBot="1" x14ac:dyDescent="0.2">
      <c r="A44" s="610"/>
      <c r="B44" s="614"/>
      <c r="C44" s="159" t="s">
        <v>37</v>
      </c>
      <c r="D44" s="160">
        <f>SUM(D40:D43)</f>
        <v>3283</v>
      </c>
      <c r="E44" s="160">
        <f t="shared" ref="E44:H44" si="53">SUM(E40:E43)</f>
        <v>1935</v>
      </c>
      <c r="F44" s="160">
        <f t="shared" si="53"/>
        <v>2023</v>
      </c>
      <c r="G44" s="160">
        <f t="shared" si="53"/>
        <v>5082</v>
      </c>
      <c r="H44" s="160">
        <f t="shared" si="53"/>
        <v>1890</v>
      </c>
      <c r="I44" s="161">
        <f t="shared" si="3"/>
        <v>14213</v>
      </c>
      <c r="J44" s="160">
        <f t="shared" ref="J44" si="54">SUM(J40:J43)</f>
        <v>3597</v>
      </c>
      <c r="K44" s="160">
        <f>SUM(K40:K43)</f>
        <v>581</v>
      </c>
      <c r="L44" s="162">
        <f t="shared" si="1"/>
        <v>18391</v>
      </c>
    </row>
    <row r="45" spans="1:12" ht="15.75" customHeight="1" thickTop="1" x14ac:dyDescent="0.15">
      <c r="A45" s="610"/>
      <c r="B45" s="615" t="s">
        <v>10</v>
      </c>
      <c r="C45" s="616"/>
      <c r="D45" s="75">
        <f>D35+D39+D44</f>
        <v>11979</v>
      </c>
      <c r="E45" s="75">
        <f t="shared" ref="E45:K45" si="55">E35+E39+E44</f>
        <v>5383</v>
      </c>
      <c r="F45" s="75">
        <f t="shared" si="55"/>
        <v>6662</v>
      </c>
      <c r="G45" s="75">
        <f t="shared" si="55"/>
        <v>12304</v>
      </c>
      <c r="H45" s="75">
        <f t="shared" si="55"/>
        <v>5755</v>
      </c>
      <c r="I45" s="75">
        <f t="shared" si="55"/>
        <v>42083</v>
      </c>
      <c r="J45" s="75">
        <f t="shared" si="55"/>
        <v>6378</v>
      </c>
      <c r="K45" s="75">
        <f t="shared" si="55"/>
        <v>1822</v>
      </c>
      <c r="L45" s="75">
        <f>L35+L39+L44</f>
        <v>50283</v>
      </c>
    </row>
    <row r="46" spans="1:12" ht="15.75" customHeight="1" x14ac:dyDescent="0.15">
      <c r="A46" s="611"/>
      <c r="B46" s="617" t="s">
        <v>51</v>
      </c>
      <c r="C46" s="618"/>
      <c r="D46" s="164">
        <f>D45/$L45</f>
        <v>0.23823160909253624</v>
      </c>
      <c r="E46" s="164">
        <f t="shared" ref="E46:K46" si="56">E45/$L45</f>
        <v>0.10705407394149116</v>
      </c>
      <c r="F46" s="164">
        <v>0.13300000000000001</v>
      </c>
      <c r="G46" s="165">
        <f>G45/$L45</f>
        <v>0.2446950261519798</v>
      </c>
      <c r="H46" s="164">
        <f t="shared" si="56"/>
        <v>0.11445220054491578</v>
      </c>
      <c r="I46" s="164">
        <f>I45/$L45</f>
        <v>0.83692301573096273</v>
      </c>
      <c r="J46" s="164">
        <f t="shared" si="56"/>
        <v>0.12684207386194141</v>
      </c>
      <c r="K46" s="164">
        <f t="shared" si="56"/>
        <v>3.6234910407095838E-2</v>
      </c>
      <c r="L46" s="166">
        <f t="shared" si="1"/>
        <v>1</v>
      </c>
    </row>
  </sheetData>
  <mergeCells count="16">
    <mergeCell ref="J1:L1"/>
    <mergeCell ref="B2:C2"/>
    <mergeCell ref="B3:B7"/>
    <mergeCell ref="B8:B11"/>
    <mergeCell ref="A9:A10"/>
    <mergeCell ref="B12:B16"/>
    <mergeCell ref="B17:B21"/>
    <mergeCell ref="B22:B25"/>
    <mergeCell ref="A23:A24"/>
    <mergeCell ref="B26:B30"/>
    <mergeCell ref="A31:A46"/>
    <mergeCell ref="B31:B35"/>
    <mergeCell ref="B36:B39"/>
    <mergeCell ref="B40:B44"/>
    <mergeCell ref="B45:C45"/>
    <mergeCell ref="B46:C46"/>
  </mergeCells>
  <phoneticPr fontId="11"/>
  <printOptions horizontalCentered="1"/>
  <pageMargins left="0.59055118110236227" right="0.59055118110236227" top="0.70866141732283472" bottom="0.51181102362204722" header="0" footer="0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/>
  </sheetPr>
  <dimension ref="A1:V31"/>
  <sheetViews>
    <sheetView zoomScale="75" zoomScaleNormal="75" workbookViewId="0"/>
  </sheetViews>
  <sheetFormatPr defaultColWidth="9" defaultRowHeight="14.25" x14ac:dyDescent="0.15"/>
  <cols>
    <col min="1" max="1" width="8.5" customWidth="1"/>
    <col min="2" max="19" width="6.875" customWidth="1"/>
    <col min="20" max="24" width="5.875" style="16" customWidth="1"/>
    <col min="25" max="16384" width="9" style="16"/>
  </cols>
  <sheetData>
    <row r="1" spans="1:22" s="9" customFormat="1" ht="27.75" customHeight="1" x14ac:dyDescent="0.15">
      <c r="A1" s="362" t="s">
        <v>326</v>
      </c>
      <c r="B1" s="91"/>
      <c r="C1" s="91"/>
      <c r="D1" s="91"/>
      <c r="E1" s="91"/>
      <c r="F1" s="91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pans="1:22" s="9" customFormat="1" ht="14.25" customHeight="1" x14ac:dyDescent="0.15">
      <c r="A2" s="377" t="s">
        <v>157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631" t="s">
        <v>225</v>
      </c>
      <c r="S2" s="631"/>
    </row>
    <row r="3" spans="1:22" s="10" customFormat="1" ht="29.25" customHeight="1" x14ac:dyDescent="0.15">
      <c r="A3" s="26"/>
      <c r="B3" s="168" t="s">
        <v>112</v>
      </c>
      <c r="C3" s="169" t="s">
        <v>108</v>
      </c>
      <c r="D3" s="170" t="s">
        <v>113</v>
      </c>
      <c r="E3" s="170" t="s">
        <v>114</v>
      </c>
      <c r="F3" s="171" t="s">
        <v>115</v>
      </c>
      <c r="G3" s="170" t="s">
        <v>116</v>
      </c>
      <c r="H3" s="170" t="s">
        <v>117</v>
      </c>
      <c r="I3" s="172" t="s">
        <v>118</v>
      </c>
      <c r="J3" s="173" t="s">
        <v>119</v>
      </c>
      <c r="K3" s="172" t="s">
        <v>120</v>
      </c>
      <c r="L3" s="172" t="s">
        <v>121</v>
      </c>
      <c r="M3" s="172" t="s">
        <v>122</v>
      </c>
      <c r="N3" s="172" t="s">
        <v>123</v>
      </c>
      <c r="O3" s="172" t="s">
        <v>124</v>
      </c>
      <c r="P3" s="172" t="s">
        <v>125</v>
      </c>
      <c r="Q3" s="174" t="s">
        <v>126</v>
      </c>
      <c r="R3" s="175" t="s">
        <v>109</v>
      </c>
      <c r="S3" s="175" t="s">
        <v>49</v>
      </c>
    </row>
    <row r="4" spans="1:22" s="9" customFormat="1" ht="16.5" customHeight="1" x14ac:dyDescent="0.15">
      <c r="A4" s="176" t="s">
        <v>12</v>
      </c>
      <c r="B4" s="163">
        <v>9669</v>
      </c>
      <c r="C4" s="77">
        <f>SUM(D4:Q4)</f>
        <v>1126</v>
      </c>
      <c r="D4" s="78">
        <v>379</v>
      </c>
      <c r="E4" s="78">
        <v>84</v>
      </c>
      <c r="F4" s="78">
        <v>129</v>
      </c>
      <c r="G4" s="78">
        <v>56</v>
      </c>
      <c r="H4" s="78">
        <v>96</v>
      </c>
      <c r="I4" s="78">
        <v>34</v>
      </c>
      <c r="J4" s="78">
        <v>2</v>
      </c>
      <c r="K4" s="78">
        <v>62</v>
      </c>
      <c r="L4" s="78">
        <v>13</v>
      </c>
      <c r="M4" s="78">
        <v>17</v>
      </c>
      <c r="N4" s="78">
        <v>56</v>
      </c>
      <c r="O4" s="78">
        <v>8</v>
      </c>
      <c r="P4" s="78">
        <v>15</v>
      </c>
      <c r="Q4" s="82">
        <v>175</v>
      </c>
      <c r="R4" s="78">
        <v>483</v>
      </c>
      <c r="S4" s="71">
        <f>B4+C4+R4</f>
        <v>11278</v>
      </c>
      <c r="V4" s="10"/>
    </row>
    <row r="5" spans="1:22" s="9" customFormat="1" ht="16.5" customHeight="1" x14ac:dyDescent="0.15">
      <c r="A5" s="177" t="s">
        <v>50</v>
      </c>
      <c r="B5" s="178">
        <v>858</v>
      </c>
      <c r="C5" s="77">
        <f t="shared" ref="C5:C6" si="0">SUM(D5:Q5)</f>
        <v>89</v>
      </c>
      <c r="D5" s="81">
        <v>43</v>
      </c>
      <c r="E5" s="81">
        <v>5</v>
      </c>
      <c r="F5" s="81">
        <v>7</v>
      </c>
      <c r="G5" s="81">
        <v>6</v>
      </c>
      <c r="H5" s="81">
        <v>6</v>
      </c>
      <c r="I5" s="81">
        <v>2</v>
      </c>
      <c r="J5" s="81"/>
      <c r="K5" s="81">
        <v>6</v>
      </c>
      <c r="L5" s="81"/>
      <c r="M5" s="81">
        <v>2</v>
      </c>
      <c r="N5" s="81">
        <v>3</v>
      </c>
      <c r="O5" s="81"/>
      <c r="P5" s="81">
        <v>1</v>
      </c>
      <c r="Q5" s="83">
        <v>8</v>
      </c>
      <c r="R5" s="81">
        <v>33</v>
      </c>
      <c r="S5" s="73">
        <f>B5+C5+R5</f>
        <v>980</v>
      </c>
      <c r="V5" s="10"/>
    </row>
    <row r="6" spans="1:22" s="9" customFormat="1" ht="16.5" customHeight="1" x14ac:dyDescent="0.15">
      <c r="A6" s="177" t="s">
        <v>35</v>
      </c>
      <c r="B6" s="178">
        <v>6510</v>
      </c>
      <c r="C6" s="77">
        <f t="shared" si="0"/>
        <v>900</v>
      </c>
      <c r="D6" s="81">
        <v>496</v>
      </c>
      <c r="E6" s="81">
        <v>86</v>
      </c>
      <c r="F6" s="81">
        <v>72</v>
      </c>
      <c r="G6" s="81">
        <v>26</v>
      </c>
      <c r="H6" s="81">
        <v>19</v>
      </c>
      <c r="I6" s="81">
        <v>9</v>
      </c>
      <c r="J6" s="81">
        <v>1</v>
      </c>
      <c r="K6" s="81">
        <v>43</v>
      </c>
      <c r="L6" s="81">
        <v>2</v>
      </c>
      <c r="M6" s="81">
        <v>11</v>
      </c>
      <c r="N6" s="81">
        <v>48</v>
      </c>
      <c r="O6" s="81">
        <v>6</v>
      </c>
      <c r="P6" s="81">
        <v>6</v>
      </c>
      <c r="Q6" s="83">
        <v>75</v>
      </c>
      <c r="R6" s="81">
        <v>259</v>
      </c>
      <c r="S6" s="73">
        <f>B6+C6+R6</f>
        <v>7669</v>
      </c>
      <c r="V6" s="10"/>
    </row>
    <row r="7" spans="1:22" s="9" customFormat="1" ht="16.5" customHeight="1" thickBot="1" x14ac:dyDescent="0.2">
      <c r="A7" s="179" t="s">
        <v>36</v>
      </c>
      <c r="B7" s="180">
        <v>720</v>
      </c>
      <c r="C7" s="181">
        <f>SUM(D7:Q7)</f>
        <v>97</v>
      </c>
      <c r="D7" s="182">
        <v>53</v>
      </c>
      <c r="E7" s="182">
        <v>10</v>
      </c>
      <c r="F7" s="182">
        <v>10</v>
      </c>
      <c r="G7" s="182">
        <v>2</v>
      </c>
      <c r="H7" s="182">
        <v>3</v>
      </c>
      <c r="I7" s="182">
        <v>3</v>
      </c>
      <c r="J7" s="182"/>
      <c r="K7" s="182"/>
      <c r="L7" s="182"/>
      <c r="M7" s="182">
        <v>2</v>
      </c>
      <c r="N7" s="182">
        <v>6</v>
      </c>
      <c r="O7" s="182"/>
      <c r="P7" s="182"/>
      <c r="Q7" s="183">
        <v>8</v>
      </c>
      <c r="R7" s="182">
        <v>38</v>
      </c>
      <c r="S7" s="184">
        <f>B7+C7+R7</f>
        <v>855</v>
      </c>
      <c r="V7" s="10"/>
    </row>
    <row r="8" spans="1:22" s="9" customFormat="1" ht="18.75" customHeight="1" thickTop="1" x14ac:dyDescent="0.15">
      <c r="A8" s="176" t="s">
        <v>37</v>
      </c>
      <c r="B8" s="163">
        <f t="shared" ref="B8:S8" si="1">SUM(B4:B7)</f>
        <v>17757</v>
      </c>
      <c r="C8" s="77">
        <f t="shared" si="1"/>
        <v>2212</v>
      </c>
      <c r="D8" s="78">
        <f t="shared" si="1"/>
        <v>971</v>
      </c>
      <c r="E8" s="78">
        <f t="shared" si="1"/>
        <v>185</v>
      </c>
      <c r="F8" s="78">
        <f t="shared" si="1"/>
        <v>218</v>
      </c>
      <c r="G8" s="78">
        <f t="shared" si="1"/>
        <v>90</v>
      </c>
      <c r="H8" s="78">
        <f t="shared" si="1"/>
        <v>124</v>
      </c>
      <c r="I8" s="78">
        <f t="shared" si="1"/>
        <v>48</v>
      </c>
      <c r="J8" s="78">
        <f t="shared" si="1"/>
        <v>3</v>
      </c>
      <c r="K8" s="78">
        <f t="shared" si="1"/>
        <v>111</v>
      </c>
      <c r="L8" s="78">
        <f t="shared" si="1"/>
        <v>15</v>
      </c>
      <c r="M8" s="78">
        <f t="shared" si="1"/>
        <v>32</v>
      </c>
      <c r="N8" s="78">
        <f t="shared" si="1"/>
        <v>113</v>
      </c>
      <c r="O8" s="78">
        <f t="shared" si="1"/>
        <v>14</v>
      </c>
      <c r="P8" s="75">
        <f t="shared" si="1"/>
        <v>22</v>
      </c>
      <c r="Q8" s="82">
        <f t="shared" si="1"/>
        <v>266</v>
      </c>
      <c r="R8" s="78">
        <f t="shared" si="1"/>
        <v>813</v>
      </c>
      <c r="S8" s="71">
        <f t="shared" si="1"/>
        <v>20782</v>
      </c>
      <c r="V8" s="10"/>
    </row>
    <row r="9" spans="1:22" s="9" customFormat="1" ht="17.25" customHeight="1" x14ac:dyDescent="0.15">
      <c r="A9" s="630" t="s">
        <v>51</v>
      </c>
      <c r="B9" s="625">
        <v>0.85499999999999998</v>
      </c>
      <c r="C9" s="185">
        <f>C8/S8</f>
        <v>0.10643826388220576</v>
      </c>
      <c r="D9" s="186">
        <f>D8/S8</f>
        <v>4.6723125781926667E-2</v>
      </c>
      <c r="E9" s="186">
        <f>E8/S8</f>
        <v>8.9019343662785095E-3</v>
      </c>
      <c r="F9" s="186">
        <f>F8/S8</f>
        <v>1.0489846982966029E-2</v>
      </c>
      <c r="G9" s="186">
        <f>G8/S8</f>
        <v>4.3306707727841405E-3</v>
      </c>
      <c r="H9" s="186">
        <f>H8/S8</f>
        <v>5.9667019536137041E-3</v>
      </c>
      <c r="I9" s="186">
        <f>I8/S8</f>
        <v>2.309691078818208E-3</v>
      </c>
      <c r="J9" s="186">
        <f>J8/S8</f>
        <v>1.44355692426138E-4</v>
      </c>
      <c r="K9" s="186">
        <f>K8/S8</f>
        <v>5.3411606197671059E-3</v>
      </c>
      <c r="L9" s="186">
        <f>L8/S8</f>
        <v>7.2177846213069001E-4</v>
      </c>
      <c r="M9" s="186">
        <f>M8/S8</f>
        <v>1.539794052545472E-3</v>
      </c>
      <c r="N9" s="186">
        <f>N8/S8</f>
        <v>5.4373977480511983E-3</v>
      </c>
      <c r="O9" s="186">
        <f>O8/S8</f>
        <v>6.7365989798864401E-4</v>
      </c>
      <c r="P9" s="187">
        <f>P8/S8</f>
        <v>1.058608411125012E-3</v>
      </c>
      <c r="Q9" s="188">
        <f>Q8/S8</f>
        <v>1.2799538061784237E-2</v>
      </c>
      <c r="R9" s="186">
        <f>R8/S8</f>
        <v>3.9120392647483397E-2</v>
      </c>
      <c r="S9" s="189">
        <f>S8/S8</f>
        <v>1</v>
      </c>
      <c r="V9" s="10"/>
    </row>
    <row r="10" spans="1:22" s="9" customFormat="1" ht="17.25" customHeight="1" x14ac:dyDescent="0.15">
      <c r="A10" s="615"/>
      <c r="B10" s="626"/>
      <c r="C10" s="190"/>
      <c r="D10" s="190"/>
      <c r="E10" s="190"/>
      <c r="F10" s="627" t="s">
        <v>127</v>
      </c>
      <c r="G10" s="627"/>
      <c r="H10" s="190" t="s">
        <v>128</v>
      </c>
      <c r="I10" s="628">
        <f>C8+R8</f>
        <v>3025</v>
      </c>
      <c r="J10" s="628"/>
      <c r="K10" s="190" t="s">
        <v>129</v>
      </c>
      <c r="L10" s="190">
        <v>0.14499999999999999</v>
      </c>
      <c r="M10" s="190" t="s">
        <v>183</v>
      </c>
      <c r="N10" s="190"/>
      <c r="O10" s="190"/>
      <c r="P10" s="190"/>
      <c r="Q10" s="190"/>
      <c r="R10" s="191"/>
      <c r="S10" s="192"/>
      <c r="V10" s="10"/>
    </row>
    <row r="11" spans="1:22" s="9" customFormat="1" ht="19.5" customHeight="1" x14ac:dyDescent="0.15">
      <c r="A11" s="375" t="s">
        <v>226</v>
      </c>
      <c r="B11" s="376"/>
      <c r="C11" s="376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629" t="s">
        <v>225</v>
      </c>
      <c r="S11" s="629"/>
      <c r="T11" s="193"/>
      <c r="V11" s="10"/>
    </row>
    <row r="12" spans="1:22" s="10" customFormat="1" ht="29.25" customHeight="1" x14ac:dyDescent="0.15">
      <c r="A12" s="194"/>
      <c r="B12" s="195" t="s">
        <v>112</v>
      </c>
      <c r="C12" s="169" t="s">
        <v>108</v>
      </c>
      <c r="D12" s="170" t="s">
        <v>113</v>
      </c>
      <c r="E12" s="170" t="s">
        <v>114</v>
      </c>
      <c r="F12" s="171" t="s">
        <v>115</v>
      </c>
      <c r="G12" s="170" t="s">
        <v>116</v>
      </c>
      <c r="H12" s="170" t="s">
        <v>117</v>
      </c>
      <c r="I12" s="172" t="s">
        <v>118</v>
      </c>
      <c r="J12" s="173" t="s">
        <v>119</v>
      </c>
      <c r="K12" s="172" t="s">
        <v>120</v>
      </c>
      <c r="L12" s="172" t="s">
        <v>121</v>
      </c>
      <c r="M12" s="172" t="s">
        <v>122</v>
      </c>
      <c r="N12" s="172" t="s">
        <v>123</v>
      </c>
      <c r="O12" s="172" t="s">
        <v>124</v>
      </c>
      <c r="P12" s="172" t="s">
        <v>125</v>
      </c>
      <c r="Q12" s="174" t="s">
        <v>126</v>
      </c>
      <c r="R12" s="175" t="s">
        <v>109</v>
      </c>
      <c r="S12" s="175" t="s">
        <v>49</v>
      </c>
    </row>
    <row r="13" spans="1:22" s="9" customFormat="1" ht="16.5" customHeight="1" x14ac:dyDescent="0.15">
      <c r="A13" s="196" t="s">
        <v>12</v>
      </c>
      <c r="B13" s="76">
        <v>4866</v>
      </c>
      <c r="C13" s="77">
        <f t="shared" ref="C13:C15" si="2">SUM(D13:Q13)</f>
        <v>232</v>
      </c>
      <c r="D13" s="78">
        <v>5</v>
      </c>
      <c r="E13" s="78">
        <v>2</v>
      </c>
      <c r="F13" s="78">
        <v>12</v>
      </c>
      <c r="G13" s="78">
        <v>4</v>
      </c>
      <c r="H13" s="78">
        <v>127</v>
      </c>
      <c r="I13" s="78">
        <v>39</v>
      </c>
      <c r="J13" s="78">
        <v>3</v>
      </c>
      <c r="K13" s="78">
        <v>3</v>
      </c>
      <c r="L13" s="78">
        <v>1</v>
      </c>
      <c r="M13" s="78">
        <v>2</v>
      </c>
      <c r="N13" s="78"/>
      <c r="O13" s="78"/>
      <c r="P13" s="78"/>
      <c r="Q13" s="82">
        <v>34</v>
      </c>
      <c r="R13" s="78">
        <v>220</v>
      </c>
      <c r="S13" s="71">
        <f>B13+C13+R13</f>
        <v>5318</v>
      </c>
      <c r="V13" s="10"/>
    </row>
    <row r="14" spans="1:22" s="9" customFormat="1" ht="16.5" customHeight="1" x14ac:dyDescent="0.15">
      <c r="A14" s="198" t="s">
        <v>50</v>
      </c>
      <c r="B14" s="80">
        <v>649</v>
      </c>
      <c r="C14" s="77">
        <f t="shared" si="2"/>
        <v>21</v>
      </c>
      <c r="D14" s="81">
        <v>2</v>
      </c>
      <c r="E14" s="81"/>
      <c r="F14" s="81"/>
      <c r="G14" s="81">
        <v>1</v>
      </c>
      <c r="H14" s="81">
        <v>6</v>
      </c>
      <c r="I14" s="81">
        <v>2</v>
      </c>
      <c r="J14" s="81"/>
      <c r="K14" s="81">
        <v>2</v>
      </c>
      <c r="L14" s="81">
        <v>1</v>
      </c>
      <c r="M14" s="81"/>
      <c r="N14" s="81">
        <v>1</v>
      </c>
      <c r="O14" s="81"/>
      <c r="P14" s="81"/>
      <c r="Q14" s="83">
        <v>6</v>
      </c>
      <c r="R14" s="81">
        <v>25</v>
      </c>
      <c r="S14" s="73">
        <f>B14+C14+R14</f>
        <v>695</v>
      </c>
      <c r="V14" s="10"/>
    </row>
    <row r="15" spans="1:22" s="9" customFormat="1" ht="16.5" customHeight="1" thickBot="1" x14ac:dyDescent="0.2">
      <c r="A15" s="199" t="s">
        <v>35</v>
      </c>
      <c r="B15" s="200">
        <v>4598</v>
      </c>
      <c r="C15" s="181">
        <f t="shared" si="2"/>
        <v>316</v>
      </c>
      <c r="D15" s="182">
        <v>5</v>
      </c>
      <c r="E15" s="182">
        <v>1</v>
      </c>
      <c r="F15" s="182">
        <v>18</v>
      </c>
      <c r="G15" s="182">
        <v>7</v>
      </c>
      <c r="H15" s="182">
        <v>160</v>
      </c>
      <c r="I15" s="182">
        <v>55</v>
      </c>
      <c r="J15" s="182">
        <v>3</v>
      </c>
      <c r="K15" s="182">
        <v>20</v>
      </c>
      <c r="L15" s="182">
        <v>2</v>
      </c>
      <c r="M15" s="182">
        <v>5</v>
      </c>
      <c r="N15" s="182">
        <v>2</v>
      </c>
      <c r="O15" s="182"/>
      <c r="P15" s="182">
        <v>1</v>
      </c>
      <c r="Q15" s="183">
        <v>37</v>
      </c>
      <c r="R15" s="182">
        <v>183</v>
      </c>
      <c r="S15" s="374">
        <f>B15+C15+R15</f>
        <v>5097</v>
      </c>
      <c r="V15" s="10"/>
    </row>
    <row r="16" spans="1:22" s="9" customFormat="1" ht="18.75" customHeight="1" thickTop="1" x14ac:dyDescent="0.15">
      <c r="A16" s="201" t="s">
        <v>37</v>
      </c>
      <c r="B16" s="76">
        <f>SUM(B13:B15)</f>
        <v>10113</v>
      </c>
      <c r="C16" s="358">
        <f t="shared" ref="C16:S16" si="3">SUM(C13:C15)</f>
        <v>569</v>
      </c>
      <c r="D16" s="326">
        <f t="shared" si="3"/>
        <v>12</v>
      </c>
      <c r="E16" s="76">
        <f t="shared" si="3"/>
        <v>3</v>
      </c>
      <c r="F16" s="76">
        <f t="shared" si="3"/>
        <v>30</v>
      </c>
      <c r="G16" s="76">
        <f t="shared" si="3"/>
        <v>12</v>
      </c>
      <c r="H16" s="76">
        <f t="shared" si="3"/>
        <v>293</v>
      </c>
      <c r="I16" s="76">
        <f t="shared" si="3"/>
        <v>96</v>
      </c>
      <c r="J16" s="76">
        <f t="shared" si="3"/>
        <v>6</v>
      </c>
      <c r="K16" s="76">
        <f t="shared" si="3"/>
        <v>25</v>
      </c>
      <c r="L16" s="76">
        <f t="shared" si="3"/>
        <v>4</v>
      </c>
      <c r="M16" s="76">
        <f t="shared" si="3"/>
        <v>7</v>
      </c>
      <c r="N16" s="76">
        <f t="shared" si="3"/>
        <v>3</v>
      </c>
      <c r="O16" s="76">
        <f t="shared" si="3"/>
        <v>0</v>
      </c>
      <c r="P16" s="76">
        <f t="shared" si="3"/>
        <v>1</v>
      </c>
      <c r="Q16" s="76">
        <f t="shared" si="3"/>
        <v>77</v>
      </c>
      <c r="R16" s="326">
        <f t="shared" si="3"/>
        <v>428</v>
      </c>
      <c r="S16" s="75">
        <f t="shared" si="3"/>
        <v>11110</v>
      </c>
      <c r="V16" s="10"/>
    </row>
    <row r="17" spans="1:22" s="9" customFormat="1" ht="17.25" customHeight="1" x14ac:dyDescent="0.15">
      <c r="A17" s="624" t="s">
        <v>51</v>
      </c>
      <c r="B17" s="625">
        <f>B16/S16</f>
        <v>0.91026102610261028</v>
      </c>
      <c r="C17" s="202">
        <f>C16/S16</f>
        <v>5.1215121512151213E-2</v>
      </c>
      <c r="D17" s="289">
        <f>D16/$S16</f>
        <v>1.0801080108010801E-3</v>
      </c>
      <c r="E17" s="164">
        <f t="shared" ref="E17:Q17" si="4">E16/$S16</f>
        <v>2.7002700270027002E-4</v>
      </c>
      <c r="F17" s="164">
        <f t="shared" si="4"/>
        <v>2.7002700270027003E-3</v>
      </c>
      <c r="G17" s="164">
        <f t="shared" si="4"/>
        <v>1.0801080108010801E-3</v>
      </c>
      <c r="H17" s="164">
        <f t="shared" si="4"/>
        <v>2.6372637263726371E-2</v>
      </c>
      <c r="I17" s="164">
        <f t="shared" si="4"/>
        <v>8.6408640864086405E-3</v>
      </c>
      <c r="J17" s="164">
        <f t="shared" si="4"/>
        <v>5.4005400540054003E-4</v>
      </c>
      <c r="K17" s="164">
        <f t="shared" si="4"/>
        <v>2.2502250225022503E-3</v>
      </c>
      <c r="L17" s="164">
        <f t="shared" si="4"/>
        <v>3.6003600360036002E-4</v>
      </c>
      <c r="M17" s="164">
        <f t="shared" si="4"/>
        <v>6.3006300630063009E-4</v>
      </c>
      <c r="N17" s="164">
        <f t="shared" si="4"/>
        <v>2.7002700270027002E-4</v>
      </c>
      <c r="O17" s="164">
        <f t="shared" si="4"/>
        <v>0</v>
      </c>
      <c r="P17" s="164">
        <f t="shared" si="4"/>
        <v>9.0009000900090005E-5</v>
      </c>
      <c r="Q17" s="164">
        <f t="shared" si="4"/>
        <v>6.9306930693069308E-3</v>
      </c>
      <c r="R17" s="165">
        <f>R16/S16</f>
        <v>3.8523852385238526E-2</v>
      </c>
      <c r="S17" s="203">
        <f>S16/S16</f>
        <v>1</v>
      </c>
      <c r="V17" s="10"/>
    </row>
    <row r="18" spans="1:22" s="9" customFormat="1" ht="17.25" customHeight="1" x14ac:dyDescent="0.15">
      <c r="A18" s="615"/>
      <c r="B18" s="626"/>
      <c r="C18" s="204"/>
      <c r="D18" s="190"/>
      <c r="E18" s="190"/>
      <c r="F18" s="627" t="s">
        <v>127</v>
      </c>
      <c r="G18" s="627"/>
      <c r="H18" s="190" t="s">
        <v>128</v>
      </c>
      <c r="I18" s="628">
        <f>C16+R16</f>
        <v>997</v>
      </c>
      <c r="J18" s="628"/>
      <c r="K18" s="190" t="s">
        <v>129</v>
      </c>
      <c r="L18" s="190">
        <f>I18/S16</f>
        <v>8.9738973897389746E-2</v>
      </c>
      <c r="M18" s="190" t="s">
        <v>183</v>
      </c>
      <c r="N18" s="190"/>
      <c r="O18" s="190"/>
      <c r="P18" s="190"/>
      <c r="Q18" s="190"/>
      <c r="R18" s="191"/>
      <c r="S18" s="192"/>
      <c r="V18" s="10"/>
    </row>
    <row r="19" spans="1:22" s="9" customFormat="1" ht="17.25" customHeight="1" x14ac:dyDescent="0.15">
      <c r="A19" s="375" t="s">
        <v>227</v>
      </c>
      <c r="B19" s="376"/>
      <c r="C19" s="376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629" t="s">
        <v>225</v>
      </c>
      <c r="S19" s="629"/>
      <c r="T19" s="193"/>
    </row>
    <row r="20" spans="1:22" s="10" customFormat="1" ht="29.25" customHeight="1" x14ac:dyDescent="0.15">
      <c r="A20" s="26"/>
      <c r="B20" s="174" t="s">
        <v>112</v>
      </c>
      <c r="C20" s="205" t="s">
        <v>108</v>
      </c>
      <c r="D20" s="170" t="s">
        <v>113</v>
      </c>
      <c r="E20" s="170" t="s">
        <v>114</v>
      </c>
      <c r="F20" s="171" t="s">
        <v>115</v>
      </c>
      <c r="G20" s="170" t="s">
        <v>116</v>
      </c>
      <c r="H20" s="170" t="s">
        <v>117</v>
      </c>
      <c r="I20" s="172" t="s">
        <v>118</v>
      </c>
      <c r="J20" s="173" t="s">
        <v>119</v>
      </c>
      <c r="K20" s="172" t="s">
        <v>120</v>
      </c>
      <c r="L20" s="172" t="s">
        <v>121</v>
      </c>
      <c r="M20" s="172" t="s">
        <v>122</v>
      </c>
      <c r="N20" s="172" t="s">
        <v>123</v>
      </c>
      <c r="O20" s="172" t="s">
        <v>124</v>
      </c>
      <c r="P20" s="172" t="s">
        <v>125</v>
      </c>
      <c r="Q20" s="174" t="s">
        <v>126</v>
      </c>
      <c r="R20" s="175" t="s">
        <v>109</v>
      </c>
      <c r="S20" s="175" t="s">
        <v>49</v>
      </c>
      <c r="V20" s="9"/>
    </row>
    <row r="21" spans="1:22" s="9" customFormat="1" ht="16.5" customHeight="1" x14ac:dyDescent="0.15">
      <c r="A21" s="176" t="s">
        <v>12</v>
      </c>
      <c r="B21" s="82">
        <v>3863</v>
      </c>
      <c r="C21" s="77">
        <f>SUM(D21:Q21)</f>
        <v>650</v>
      </c>
      <c r="D21" s="78">
        <v>176</v>
      </c>
      <c r="E21" s="78">
        <v>63</v>
      </c>
      <c r="F21" s="78">
        <v>82</v>
      </c>
      <c r="G21" s="78">
        <v>39</v>
      </c>
      <c r="H21" s="78">
        <v>74</v>
      </c>
      <c r="I21" s="78">
        <v>28</v>
      </c>
      <c r="J21" s="78">
        <v>3</v>
      </c>
      <c r="K21" s="78">
        <v>45</v>
      </c>
      <c r="L21" s="78">
        <v>7</v>
      </c>
      <c r="M21" s="78">
        <v>7</v>
      </c>
      <c r="N21" s="78">
        <v>49</v>
      </c>
      <c r="O21" s="78">
        <v>8</v>
      </c>
      <c r="P21" s="78">
        <v>16</v>
      </c>
      <c r="Q21" s="82">
        <v>53</v>
      </c>
      <c r="R21" s="78">
        <v>237</v>
      </c>
      <c r="S21" s="71">
        <f>B21+C21+R21</f>
        <v>4750</v>
      </c>
    </row>
    <row r="22" spans="1:22" s="9" customFormat="1" ht="16.5" customHeight="1" x14ac:dyDescent="0.15">
      <c r="A22" s="177" t="s">
        <v>50</v>
      </c>
      <c r="B22" s="83">
        <v>740</v>
      </c>
      <c r="C22" s="77">
        <f t="shared" ref="C22:C24" si="5">SUM(D22:Q22)</f>
        <v>113</v>
      </c>
      <c r="D22" s="81">
        <v>46</v>
      </c>
      <c r="E22" s="81">
        <v>18</v>
      </c>
      <c r="F22" s="81">
        <v>5</v>
      </c>
      <c r="G22" s="81">
        <v>5</v>
      </c>
      <c r="H22" s="81">
        <v>1</v>
      </c>
      <c r="I22" s="81"/>
      <c r="J22" s="81"/>
      <c r="K22" s="81">
        <v>4</v>
      </c>
      <c r="L22" s="81"/>
      <c r="M22" s="81"/>
      <c r="N22" s="81">
        <v>9</v>
      </c>
      <c r="O22" s="81">
        <v>3</v>
      </c>
      <c r="P22" s="81">
        <v>2</v>
      </c>
      <c r="Q22" s="83">
        <v>20</v>
      </c>
      <c r="R22" s="81">
        <v>27</v>
      </c>
      <c r="S22" s="73">
        <f>B22+C22+R22</f>
        <v>880</v>
      </c>
    </row>
    <row r="23" spans="1:22" s="9" customFormat="1" ht="16.5" customHeight="1" x14ac:dyDescent="0.15">
      <c r="A23" s="177" t="s">
        <v>35</v>
      </c>
      <c r="B23" s="83">
        <v>6886</v>
      </c>
      <c r="C23" s="77">
        <f t="shared" si="5"/>
        <v>2023</v>
      </c>
      <c r="D23" s="81">
        <v>600</v>
      </c>
      <c r="E23" s="81">
        <v>263</v>
      </c>
      <c r="F23" s="81">
        <v>230</v>
      </c>
      <c r="G23" s="81">
        <v>79</v>
      </c>
      <c r="H23" s="81">
        <v>191</v>
      </c>
      <c r="I23" s="81">
        <v>104</v>
      </c>
      <c r="J23" s="81">
        <v>6</v>
      </c>
      <c r="K23" s="81">
        <v>130</v>
      </c>
      <c r="L23" s="81">
        <v>3</v>
      </c>
      <c r="M23" s="81">
        <v>37</v>
      </c>
      <c r="N23" s="81">
        <v>166</v>
      </c>
      <c r="O23" s="81">
        <v>23</v>
      </c>
      <c r="P23" s="81">
        <v>24</v>
      </c>
      <c r="Q23" s="83">
        <v>167</v>
      </c>
      <c r="R23" s="81">
        <v>208</v>
      </c>
      <c r="S23" s="73">
        <f>B23+C23+R23</f>
        <v>9117</v>
      </c>
    </row>
    <row r="24" spans="1:22" s="9" customFormat="1" ht="16.5" customHeight="1" thickBot="1" x14ac:dyDescent="0.2">
      <c r="A24" s="179" t="s">
        <v>36</v>
      </c>
      <c r="B24" s="183">
        <v>2724</v>
      </c>
      <c r="C24" s="181">
        <f t="shared" si="5"/>
        <v>811</v>
      </c>
      <c r="D24" s="182">
        <v>213</v>
      </c>
      <c r="E24" s="182">
        <v>82</v>
      </c>
      <c r="F24" s="182">
        <v>109</v>
      </c>
      <c r="G24" s="182">
        <v>40</v>
      </c>
      <c r="H24" s="182">
        <v>85</v>
      </c>
      <c r="I24" s="182">
        <v>51</v>
      </c>
      <c r="J24" s="182">
        <v>3</v>
      </c>
      <c r="K24" s="182">
        <v>54</v>
      </c>
      <c r="L24" s="182">
        <v>5</v>
      </c>
      <c r="M24" s="182">
        <v>12</v>
      </c>
      <c r="N24" s="182">
        <v>71</v>
      </c>
      <c r="O24" s="182">
        <v>12</v>
      </c>
      <c r="P24" s="182">
        <v>10</v>
      </c>
      <c r="Q24" s="183">
        <v>64</v>
      </c>
      <c r="R24" s="182">
        <v>109</v>
      </c>
      <c r="S24" s="184">
        <f>B24+C24+R24</f>
        <v>3644</v>
      </c>
    </row>
    <row r="25" spans="1:22" s="9" customFormat="1" ht="18.75" customHeight="1" thickTop="1" x14ac:dyDescent="0.15">
      <c r="A25" s="176" t="s">
        <v>37</v>
      </c>
      <c r="B25" s="82">
        <f t="shared" ref="B25:S25" si="6">SUM(B21:B24)</f>
        <v>14213</v>
      </c>
      <c r="C25" s="206">
        <f>SUM(C21:C24)</f>
        <v>3597</v>
      </c>
      <c r="D25" s="78">
        <f t="shared" si="6"/>
        <v>1035</v>
      </c>
      <c r="E25" s="78">
        <f t="shared" si="6"/>
        <v>426</v>
      </c>
      <c r="F25" s="78">
        <f t="shared" si="6"/>
        <v>426</v>
      </c>
      <c r="G25" s="78">
        <f t="shared" si="6"/>
        <v>163</v>
      </c>
      <c r="H25" s="78">
        <f t="shared" si="6"/>
        <v>351</v>
      </c>
      <c r="I25" s="78">
        <f t="shared" si="6"/>
        <v>183</v>
      </c>
      <c r="J25" s="78">
        <f t="shared" si="6"/>
        <v>12</v>
      </c>
      <c r="K25" s="78">
        <f t="shared" si="6"/>
        <v>233</v>
      </c>
      <c r="L25" s="78">
        <f t="shared" si="6"/>
        <v>15</v>
      </c>
      <c r="M25" s="78">
        <f t="shared" si="6"/>
        <v>56</v>
      </c>
      <c r="N25" s="78">
        <f t="shared" si="6"/>
        <v>295</v>
      </c>
      <c r="O25" s="78">
        <f t="shared" si="6"/>
        <v>46</v>
      </c>
      <c r="P25" s="75">
        <f t="shared" si="6"/>
        <v>52</v>
      </c>
      <c r="Q25" s="82">
        <f t="shared" si="6"/>
        <v>304</v>
      </c>
      <c r="R25" s="326">
        <f t="shared" si="6"/>
        <v>581</v>
      </c>
      <c r="S25" s="71">
        <f t="shared" si="6"/>
        <v>18391</v>
      </c>
    </row>
    <row r="26" spans="1:22" s="9" customFormat="1" ht="17.25" customHeight="1" x14ac:dyDescent="0.15">
      <c r="A26" s="630" t="s">
        <v>51</v>
      </c>
      <c r="B26" s="625">
        <f>B25/S25</f>
        <v>0.7728236637485727</v>
      </c>
      <c r="C26" s="185">
        <f>C25/S25</f>
        <v>0.19558479691153283</v>
      </c>
      <c r="D26" s="186">
        <f>D25/S25</f>
        <v>5.6277527051275082E-2</v>
      </c>
      <c r="E26" s="186">
        <f>E25/S25</f>
        <v>2.3163503887771192E-2</v>
      </c>
      <c r="F26" s="186">
        <f>F25/S25</f>
        <v>2.3163503887771192E-2</v>
      </c>
      <c r="G26" s="186">
        <f>G25/S25</f>
        <v>8.8630308302974289E-3</v>
      </c>
      <c r="H26" s="186">
        <f>H25/S25</f>
        <v>1.9085422217388941E-2</v>
      </c>
      <c r="I26" s="186">
        <f>I25/S25</f>
        <v>9.950519275732695E-3</v>
      </c>
      <c r="J26" s="186">
        <f>J25/S25</f>
        <v>6.5249306726116037E-4</v>
      </c>
      <c r="K26" s="186">
        <f>K25/S25</f>
        <v>1.2669240389320864E-2</v>
      </c>
      <c r="L26" s="186">
        <f>L25/S25</f>
        <v>8.1561633407645044E-4</v>
      </c>
      <c r="M26" s="186">
        <f>M25/S25</f>
        <v>3.0449676472187482E-3</v>
      </c>
      <c r="N26" s="186">
        <f>N25/S25</f>
        <v>1.6040454570170191E-2</v>
      </c>
      <c r="O26" s="186">
        <f>O25/S25</f>
        <v>2.5012234245011147E-3</v>
      </c>
      <c r="P26" s="187">
        <f>P25/S25</f>
        <v>2.8274699581316951E-3</v>
      </c>
      <c r="Q26" s="188">
        <v>1.6E-2</v>
      </c>
      <c r="R26" s="186">
        <v>3.1E-2</v>
      </c>
      <c r="S26" s="189">
        <f>S25/S25</f>
        <v>1</v>
      </c>
    </row>
    <row r="27" spans="1:22" s="9" customFormat="1" ht="17.25" customHeight="1" x14ac:dyDescent="0.15">
      <c r="A27" s="615"/>
      <c r="B27" s="626"/>
      <c r="C27" s="190"/>
      <c r="D27" s="190"/>
      <c r="E27" s="190"/>
      <c r="F27" s="627" t="s">
        <v>127</v>
      </c>
      <c r="G27" s="627"/>
      <c r="H27" s="190" t="s">
        <v>128</v>
      </c>
      <c r="I27" s="628">
        <f>C25+R25</f>
        <v>4178</v>
      </c>
      <c r="J27" s="628"/>
      <c r="K27" s="190" t="s">
        <v>129</v>
      </c>
      <c r="L27" s="190">
        <f>I27/S25</f>
        <v>0.22717633625142733</v>
      </c>
      <c r="M27" s="190" t="s">
        <v>183</v>
      </c>
      <c r="N27" s="190"/>
      <c r="O27" s="190"/>
      <c r="P27" s="190"/>
      <c r="Q27" s="190"/>
      <c r="R27" s="191"/>
      <c r="S27" s="192"/>
    </row>
    <row r="28" spans="1:22" s="9" customFormat="1" ht="15.75" customHeight="1" x14ac:dyDescent="0.15">
      <c r="A28" s="18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629" t="s">
        <v>225</v>
      </c>
      <c r="S28" s="629"/>
      <c r="T28" s="193"/>
    </row>
    <row r="29" spans="1:22" s="9" customFormat="1" ht="16.5" customHeight="1" x14ac:dyDescent="0.15">
      <c r="A29" s="177" t="s">
        <v>48</v>
      </c>
      <c r="B29" s="83">
        <f t="shared" ref="B29:S29" si="7">B8+B16+B25</f>
        <v>42083</v>
      </c>
      <c r="C29" s="207">
        <f>C8+C16+C25</f>
        <v>6378</v>
      </c>
      <c r="D29" s="81">
        <f>D8+D16+D25</f>
        <v>2018</v>
      </c>
      <c r="E29" s="25">
        <f t="shared" si="7"/>
        <v>614</v>
      </c>
      <c r="F29" s="25">
        <f t="shared" si="7"/>
        <v>674</v>
      </c>
      <c r="G29" s="25">
        <f t="shared" si="7"/>
        <v>265</v>
      </c>
      <c r="H29" s="25">
        <f t="shared" si="7"/>
        <v>768</v>
      </c>
      <c r="I29" s="25">
        <f t="shared" si="7"/>
        <v>327</v>
      </c>
      <c r="J29" s="25">
        <f t="shared" si="7"/>
        <v>21</v>
      </c>
      <c r="K29" s="25">
        <f t="shared" si="7"/>
        <v>369</v>
      </c>
      <c r="L29" s="25">
        <f t="shared" si="7"/>
        <v>34</v>
      </c>
      <c r="M29" s="25">
        <f t="shared" si="7"/>
        <v>95</v>
      </c>
      <c r="N29" s="25">
        <f t="shared" si="7"/>
        <v>411</v>
      </c>
      <c r="O29" s="25">
        <f t="shared" si="7"/>
        <v>60</v>
      </c>
      <c r="P29" s="25">
        <f t="shared" si="7"/>
        <v>75</v>
      </c>
      <c r="Q29" s="83">
        <f t="shared" si="7"/>
        <v>647</v>
      </c>
      <c r="R29" s="81">
        <f t="shared" si="7"/>
        <v>1822</v>
      </c>
      <c r="S29" s="73">
        <f t="shared" si="7"/>
        <v>50283</v>
      </c>
    </row>
    <row r="30" spans="1:22" s="9" customFormat="1" ht="17.25" customHeight="1" x14ac:dyDescent="0.15">
      <c r="A30" s="624" t="s">
        <v>51</v>
      </c>
      <c r="B30" s="625">
        <f>+B29/S29</f>
        <v>0.83692301573096273</v>
      </c>
      <c r="C30" s="208">
        <f>C29/S29</f>
        <v>0.12684207386194141</v>
      </c>
      <c r="D30" s="186">
        <f t="shared" ref="D30:H30" si="8">D29/$S29</f>
        <v>4.0132848079867944E-2</v>
      </c>
      <c r="E30" s="186">
        <f t="shared" si="8"/>
        <v>1.2210886383071813E-2</v>
      </c>
      <c r="F30" s="186">
        <f t="shared" si="8"/>
        <v>1.3404132609430623E-2</v>
      </c>
      <c r="G30" s="186">
        <f t="shared" si="8"/>
        <v>5.2701708330847403E-3</v>
      </c>
      <c r="H30" s="186">
        <f t="shared" si="8"/>
        <v>1.5273551697392756E-2</v>
      </c>
      <c r="I30" s="186">
        <f>I29/$S29</f>
        <v>6.5031919336555099E-3</v>
      </c>
      <c r="J30" s="186">
        <v>1E-3</v>
      </c>
      <c r="K30" s="186">
        <f t="shared" ref="K30:Q30" si="9">K29/$S29</f>
        <v>7.3384642921066759E-3</v>
      </c>
      <c r="L30" s="186">
        <f t="shared" si="9"/>
        <v>6.761728616033252E-4</v>
      </c>
      <c r="M30" s="186">
        <f t="shared" si="9"/>
        <v>1.8893065250681145E-3</v>
      </c>
      <c r="N30" s="186">
        <f t="shared" si="9"/>
        <v>8.1737366505578429E-3</v>
      </c>
      <c r="O30" s="186">
        <f t="shared" si="9"/>
        <v>1.1932462263588091E-3</v>
      </c>
      <c r="P30" s="186">
        <v>2E-3</v>
      </c>
      <c r="Q30" s="470">
        <f t="shared" si="9"/>
        <v>1.2867171807569159E-2</v>
      </c>
      <c r="R30" s="289">
        <f>R29/S29</f>
        <v>3.6234910407095838E-2</v>
      </c>
      <c r="S30" s="189">
        <f>S29/S29</f>
        <v>1</v>
      </c>
    </row>
    <row r="31" spans="1:22" s="9" customFormat="1" ht="17.25" customHeight="1" x14ac:dyDescent="0.15">
      <c r="A31" s="615"/>
      <c r="B31" s="626"/>
      <c r="C31" s="190"/>
      <c r="D31" s="190"/>
      <c r="E31" s="190"/>
      <c r="F31" s="627" t="s">
        <v>127</v>
      </c>
      <c r="G31" s="627"/>
      <c r="H31" s="190" t="s">
        <v>128</v>
      </c>
      <c r="I31" s="628">
        <f>C29+R29</f>
        <v>8200</v>
      </c>
      <c r="J31" s="628"/>
      <c r="K31" s="190" t="s">
        <v>129</v>
      </c>
      <c r="L31" s="190">
        <f>+I31/S29</f>
        <v>0.16307698426903725</v>
      </c>
      <c r="M31" s="190" t="s">
        <v>183</v>
      </c>
      <c r="N31" s="190"/>
      <c r="O31" s="190"/>
      <c r="P31" s="190"/>
      <c r="Q31" s="190"/>
      <c r="R31" s="191"/>
      <c r="S31" s="192"/>
    </row>
  </sheetData>
  <mergeCells count="20">
    <mergeCell ref="R11:S11"/>
    <mergeCell ref="A17:A18"/>
    <mergeCell ref="B17:B18"/>
    <mergeCell ref="F18:G18"/>
    <mergeCell ref="I18:J18"/>
    <mergeCell ref="R2:S2"/>
    <mergeCell ref="A9:A10"/>
    <mergeCell ref="B9:B10"/>
    <mergeCell ref="F10:G10"/>
    <mergeCell ref="I10:J10"/>
    <mergeCell ref="A30:A31"/>
    <mergeCell ref="B30:B31"/>
    <mergeCell ref="F31:G31"/>
    <mergeCell ref="I31:J31"/>
    <mergeCell ref="R19:S19"/>
    <mergeCell ref="A26:A27"/>
    <mergeCell ref="B26:B27"/>
    <mergeCell ref="F27:G27"/>
    <mergeCell ref="I27:J27"/>
    <mergeCell ref="R28:S28"/>
  </mergeCells>
  <phoneticPr fontId="11"/>
  <pageMargins left="0.78740157480314965" right="0.39370078740157483" top="0.39370078740157483" bottom="0.39370078740157483" header="0" footer="0"/>
  <pageSetup paperSize="9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/>
  </sheetPr>
  <dimension ref="A1:N42"/>
  <sheetViews>
    <sheetView zoomScaleNormal="100" workbookViewId="0"/>
  </sheetViews>
  <sheetFormatPr defaultColWidth="9" defaultRowHeight="20.25" customHeight="1" x14ac:dyDescent="0.15"/>
  <cols>
    <col min="1" max="1" width="10.25" style="10" customWidth="1"/>
    <col min="2" max="2" width="6.875" style="11" customWidth="1"/>
    <col min="3" max="12" width="6.875" style="10" customWidth="1"/>
    <col min="13" max="13" width="6.875" style="1" customWidth="1"/>
    <col min="14" max="14" width="6.875" style="10" customWidth="1"/>
    <col min="15" max="16384" width="9" style="1"/>
  </cols>
  <sheetData>
    <row r="1" spans="1:14" ht="20.25" customHeight="1" x14ac:dyDescent="0.15">
      <c r="A1" s="373" t="s">
        <v>240</v>
      </c>
      <c r="B1" s="167"/>
      <c r="C1" s="167"/>
      <c r="D1" s="167"/>
      <c r="E1" s="167"/>
      <c r="F1" s="167"/>
      <c r="M1" s="135"/>
      <c r="N1" s="1"/>
    </row>
    <row r="2" spans="1:14" ht="3.75" customHeight="1" x14ac:dyDescent="0.15">
      <c r="A2" s="167"/>
      <c r="C2" s="167"/>
      <c r="D2" s="167"/>
      <c r="E2" s="167"/>
      <c r="F2" s="167"/>
      <c r="M2" s="135"/>
      <c r="N2" s="1"/>
    </row>
    <row r="3" spans="1:14" ht="18.75" customHeight="1" x14ac:dyDescent="0.15">
      <c r="A3" s="92" t="s">
        <v>157</v>
      </c>
      <c r="B3" s="167"/>
      <c r="K3" s="231" t="s">
        <v>133</v>
      </c>
      <c r="L3" s="126"/>
      <c r="N3" s="1"/>
    </row>
    <row r="4" spans="1:14" ht="26.25" customHeight="1" x14ac:dyDescent="0.15">
      <c r="A4" s="177" t="s">
        <v>199</v>
      </c>
      <c r="B4" s="225" t="s">
        <v>198</v>
      </c>
      <c r="C4" s="224" t="s">
        <v>197</v>
      </c>
      <c r="D4" s="224" t="s">
        <v>196</v>
      </c>
      <c r="E4" s="224" t="s">
        <v>195</v>
      </c>
      <c r="F4" s="224" t="s">
        <v>194</v>
      </c>
      <c r="G4" s="224" t="s">
        <v>193</v>
      </c>
      <c r="H4" s="224" t="s">
        <v>192</v>
      </c>
      <c r="I4" s="224" t="s">
        <v>191</v>
      </c>
      <c r="J4" s="224" t="s">
        <v>190</v>
      </c>
      <c r="K4" s="223" t="s">
        <v>10</v>
      </c>
      <c r="L4" s="1"/>
      <c r="N4" s="1"/>
    </row>
    <row r="5" spans="1:14" ht="20.25" customHeight="1" x14ac:dyDescent="0.15">
      <c r="A5" s="634" t="s">
        <v>15</v>
      </c>
      <c r="B5" s="247"/>
      <c r="C5" s="219"/>
      <c r="D5" s="219">
        <v>1102</v>
      </c>
      <c r="E5" s="219">
        <v>2548</v>
      </c>
      <c r="F5" s="219">
        <v>1967</v>
      </c>
      <c r="G5" s="219">
        <v>2086</v>
      </c>
      <c r="H5" s="219">
        <v>1902</v>
      </c>
      <c r="I5" s="219">
        <v>1147</v>
      </c>
      <c r="J5" s="219">
        <f>908+601</f>
        <v>1509</v>
      </c>
      <c r="K5" s="226">
        <f>SUM(B5:J5)</f>
        <v>12261</v>
      </c>
      <c r="L5" s="1"/>
      <c r="N5" s="1"/>
    </row>
    <row r="6" spans="1:14" ht="17.25" customHeight="1" x14ac:dyDescent="0.15">
      <c r="A6" s="635"/>
      <c r="B6" s="367" t="s">
        <v>217</v>
      </c>
      <c r="C6" s="367" t="s">
        <v>217</v>
      </c>
      <c r="D6" s="230">
        <f>D5/$K5</f>
        <v>8.9878476470108479E-2</v>
      </c>
      <c r="E6" s="230">
        <f t="shared" ref="E6:J6" si="0">E5/$K5</f>
        <v>0.20781339205611288</v>
      </c>
      <c r="F6" s="230">
        <f t="shared" si="0"/>
        <v>0.16042737134002122</v>
      </c>
      <c r="G6" s="230">
        <f t="shared" si="0"/>
        <v>0.17013294184813638</v>
      </c>
      <c r="H6" s="230">
        <f t="shared" si="0"/>
        <v>0.15512600929777343</v>
      </c>
      <c r="I6" s="230">
        <f t="shared" si="0"/>
        <v>9.3548650191664626E-2</v>
      </c>
      <c r="J6" s="230">
        <f t="shared" si="0"/>
        <v>0.12307315879618302</v>
      </c>
      <c r="K6" s="366">
        <v>1</v>
      </c>
      <c r="L6" s="1"/>
      <c r="N6" s="1"/>
    </row>
    <row r="7" spans="1:14" ht="20.25" customHeight="1" x14ac:dyDescent="0.15">
      <c r="A7" s="636" t="s">
        <v>17</v>
      </c>
      <c r="B7" s="221">
        <f>51+162+170+142+88+78</f>
        <v>691</v>
      </c>
      <c r="C7" s="221">
        <f>143+108+83+104</f>
        <v>438</v>
      </c>
      <c r="D7" s="221">
        <v>174</v>
      </c>
      <c r="E7" s="221">
        <v>300</v>
      </c>
      <c r="F7" s="221">
        <v>308</v>
      </c>
      <c r="G7" s="221">
        <v>397</v>
      </c>
      <c r="H7" s="221">
        <v>450</v>
      </c>
      <c r="I7" s="221">
        <v>308</v>
      </c>
      <c r="J7" s="221">
        <f>305+267</f>
        <v>572</v>
      </c>
      <c r="K7" s="227">
        <f>SUM(B7:J7)</f>
        <v>3638</v>
      </c>
      <c r="L7" s="1"/>
      <c r="N7" s="1"/>
    </row>
    <row r="8" spans="1:14" ht="17.25" customHeight="1" x14ac:dyDescent="0.15">
      <c r="A8" s="637"/>
      <c r="B8" s="368">
        <f>B7/$K7</f>
        <v>0.18993952721275426</v>
      </c>
      <c r="C8" s="368">
        <f t="shared" ref="C8:J8" si="1">C7/$K7</f>
        <v>0.12039582188015394</v>
      </c>
      <c r="D8" s="368">
        <f t="shared" si="1"/>
        <v>4.782847718526663E-2</v>
      </c>
      <c r="E8" s="368">
        <f t="shared" si="1"/>
        <v>8.2462891698735566E-2</v>
      </c>
      <c r="F8" s="368">
        <f t="shared" si="1"/>
        <v>8.4661902144035184E-2</v>
      </c>
      <c r="G8" s="368">
        <f t="shared" si="1"/>
        <v>0.1091258933479934</v>
      </c>
      <c r="H8" s="368">
        <f t="shared" si="1"/>
        <v>0.12369433754810336</v>
      </c>
      <c r="I8" s="368">
        <f t="shared" si="1"/>
        <v>8.4661902144035184E-2</v>
      </c>
      <c r="J8" s="368">
        <f t="shared" si="1"/>
        <v>0.15722924683892248</v>
      </c>
      <c r="K8" s="372">
        <v>1</v>
      </c>
      <c r="L8" s="1"/>
      <c r="N8" s="1"/>
    </row>
    <row r="9" spans="1:14" ht="20.25" customHeight="1" x14ac:dyDescent="0.15">
      <c r="A9" s="638" t="s">
        <v>18</v>
      </c>
      <c r="B9" s="210">
        <f>6+19+41+34+33+18</f>
        <v>151</v>
      </c>
      <c r="C9" s="210">
        <f>34+29+51+111</f>
        <v>225</v>
      </c>
      <c r="D9" s="210">
        <v>97</v>
      </c>
      <c r="E9" s="210">
        <v>123</v>
      </c>
      <c r="F9" s="210">
        <v>101</v>
      </c>
      <c r="G9" s="210">
        <v>142</v>
      </c>
      <c r="H9" s="210">
        <v>173</v>
      </c>
      <c r="I9" s="210">
        <v>102</v>
      </c>
      <c r="J9" s="210">
        <f>119+128</f>
        <v>247</v>
      </c>
      <c r="K9" s="228">
        <f>SUM(B9:J9)</f>
        <v>1361</v>
      </c>
      <c r="L9" s="1"/>
      <c r="N9" s="1"/>
    </row>
    <row r="10" spans="1:14" ht="17.25" customHeight="1" x14ac:dyDescent="0.15">
      <c r="A10" s="635"/>
      <c r="B10" s="230">
        <f>B9/$K9</f>
        <v>0.1109478324761205</v>
      </c>
      <c r="C10" s="230">
        <f>C9/$K9</f>
        <v>0.16531961792799413</v>
      </c>
      <c r="D10" s="230">
        <f t="shared" ref="D10:I10" si="2">D9/$K9</f>
        <v>7.1271124173401909E-2</v>
      </c>
      <c r="E10" s="230">
        <v>9.0999999999999998E-2</v>
      </c>
      <c r="F10" s="230">
        <f t="shared" si="2"/>
        <v>7.4210139603232916E-2</v>
      </c>
      <c r="G10" s="230">
        <f t="shared" si="2"/>
        <v>0.10433504775900074</v>
      </c>
      <c r="H10" s="230">
        <f t="shared" si="2"/>
        <v>0.12711241734019105</v>
      </c>
      <c r="I10" s="230">
        <f t="shared" si="2"/>
        <v>7.4944893460690665E-2</v>
      </c>
      <c r="J10" s="230">
        <v>0.182</v>
      </c>
      <c r="K10" s="366">
        <v>1</v>
      </c>
      <c r="L10" s="1"/>
      <c r="N10" s="1"/>
    </row>
    <row r="11" spans="1:14" ht="20.25" customHeight="1" x14ac:dyDescent="0.15">
      <c r="A11" s="636" t="s">
        <v>19</v>
      </c>
      <c r="B11" s="471">
        <v>0</v>
      </c>
      <c r="C11" s="221">
        <v>2</v>
      </c>
      <c r="D11" s="221">
        <v>6</v>
      </c>
      <c r="E11" s="221">
        <v>51</v>
      </c>
      <c r="F11" s="221">
        <v>51</v>
      </c>
      <c r="G11" s="221">
        <v>35</v>
      </c>
      <c r="H11" s="221">
        <v>17</v>
      </c>
      <c r="I11" s="221">
        <v>9</v>
      </c>
      <c r="J11" s="221">
        <f>12+7</f>
        <v>19</v>
      </c>
      <c r="K11" s="227">
        <f>SUM(B11:J11)</f>
        <v>190</v>
      </c>
      <c r="L11" s="1"/>
      <c r="N11" s="1"/>
    </row>
    <row r="12" spans="1:14" ht="17.25" customHeight="1" x14ac:dyDescent="0.15">
      <c r="A12" s="637"/>
      <c r="B12" s="368">
        <f>B11/$K11</f>
        <v>0</v>
      </c>
      <c r="C12" s="368">
        <f t="shared" ref="C12:J12" si="3">C11/$K11</f>
        <v>1.0526315789473684E-2</v>
      </c>
      <c r="D12" s="368">
        <f t="shared" si="3"/>
        <v>3.1578947368421054E-2</v>
      </c>
      <c r="E12" s="368">
        <f t="shared" si="3"/>
        <v>0.26842105263157895</v>
      </c>
      <c r="F12" s="368">
        <f t="shared" si="3"/>
        <v>0.26842105263157895</v>
      </c>
      <c r="G12" s="368">
        <f t="shared" si="3"/>
        <v>0.18421052631578946</v>
      </c>
      <c r="H12" s="368">
        <v>0.09</v>
      </c>
      <c r="I12" s="368">
        <f t="shared" si="3"/>
        <v>4.736842105263158E-2</v>
      </c>
      <c r="J12" s="368">
        <f t="shared" si="3"/>
        <v>0.1</v>
      </c>
      <c r="K12" s="372">
        <v>1</v>
      </c>
      <c r="L12" s="1"/>
      <c r="N12" s="1"/>
    </row>
    <row r="13" spans="1:14" ht="20.25" customHeight="1" x14ac:dyDescent="0.15">
      <c r="A13" s="638" t="s">
        <v>20</v>
      </c>
      <c r="B13" s="229">
        <f>8+17+11+12+15+15</f>
        <v>78</v>
      </c>
      <c r="C13" s="210">
        <f>23+9+16+23</f>
        <v>71</v>
      </c>
      <c r="D13" s="210">
        <v>32</v>
      </c>
      <c r="E13" s="210">
        <v>30</v>
      </c>
      <c r="F13" s="210">
        <v>43</v>
      </c>
      <c r="G13" s="210">
        <v>82</v>
      </c>
      <c r="H13" s="210">
        <v>79</v>
      </c>
      <c r="I13" s="210">
        <v>79</v>
      </c>
      <c r="J13" s="210">
        <f>74+40</f>
        <v>114</v>
      </c>
      <c r="K13" s="228">
        <f>SUM(B13:J13)</f>
        <v>608</v>
      </c>
      <c r="L13" s="1"/>
      <c r="N13" s="1"/>
    </row>
    <row r="14" spans="1:14" ht="17.25" customHeight="1" x14ac:dyDescent="0.15">
      <c r="A14" s="635"/>
      <c r="B14" s="230">
        <f>B13/$K13</f>
        <v>0.12828947368421054</v>
      </c>
      <c r="C14" s="230">
        <f t="shared" ref="C14:I14" si="4">C13/$K13</f>
        <v>0.11677631578947369</v>
      </c>
      <c r="D14" s="230">
        <f t="shared" si="4"/>
        <v>5.2631578947368418E-2</v>
      </c>
      <c r="E14" s="230">
        <f t="shared" si="4"/>
        <v>4.9342105263157895E-2</v>
      </c>
      <c r="F14" s="230">
        <f t="shared" si="4"/>
        <v>7.0723684210526314E-2</v>
      </c>
      <c r="G14" s="230">
        <f t="shared" si="4"/>
        <v>0.13486842105263158</v>
      </c>
      <c r="H14" s="230">
        <f t="shared" si="4"/>
        <v>0.12993421052631579</v>
      </c>
      <c r="I14" s="230">
        <f t="shared" si="4"/>
        <v>0.12993421052631579</v>
      </c>
      <c r="J14" s="230">
        <v>0.187</v>
      </c>
      <c r="K14" s="366">
        <v>1</v>
      </c>
      <c r="L14" s="1"/>
      <c r="N14" s="1"/>
    </row>
    <row r="15" spans="1:14" ht="20.25" customHeight="1" x14ac:dyDescent="0.15">
      <c r="A15" s="636" t="s">
        <v>59</v>
      </c>
      <c r="B15" s="221">
        <f>16+38+37+72+72+55</f>
        <v>290</v>
      </c>
      <c r="C15" s="221">
        <f>99+76+60+80</f>
        <v>315</v>
      </c>
      <c r="D15" s="221">
        <v>195</v>
      </c>
      <c r="E15" s="221">
        <v>423</v>
      </c>
      <c r="F15" s="221">
        <v>429</v>
      </c>
      <c r="G15" s="221">
        <v>356</v>
      </c>
      <c r="H15" s="221">
        <v>313</v>
      </c>
      <c r="I15" s="221">
        <v>181</v>
      </c>
      <c r="J15" s="221">
        <f>151+71</f>
        <v>222</v>
      </c>
      <c r="K15" s="227">
        <f>SUM(B15:J15)</f>
        <v>2724</v>
      </c>
      <c r="L15" s="1"/>
      <c r="N15" s="1"/>
    </row>
    <row r="16" spans="1:14" ht="17.25" customHeight="1" x14ac:dyDescent="0.15">
      <c r="A16" s="639"/>
      <c r="B16" s="230">
        <f>B15/$K15</f>
        <v>0.10646108663729809</v>
      </c>
      <c r="C16" s="230">
        <f t="shared" ref="C16:I16" si="5">C15/$K15</f>
        <v>0.11563876651982379</v>
      </c>
      <c r="D16" s="230">
        <f t="shared" si="5"/>
        <v>7.1585903083700442E-2</v>
      </c>
      <c r="E16" s="230">
        <f t="shared" si="5"/>
        <v>0.15528634361233482</v>
      </c>
      <c r="F16" s="230">
        <f t="shared" si="5"/>
        <v>0.15748898678414097</v>
      </c>
      <c r="G16" s="230">
        <f t="shared" si="5"/>
        <v>0.13069016152716592</v>
      </c>
      <c r="H16" s="230">
        <f t="shared" si="5"/>
        <v>0.11490455212922174</v>
      </c>
      <c r="I16" s="230">
        <f t="shared" si="5"/>
        <v>6.6446402349486053E-2</v>
      </c>
      <c r="J16" s="230">
        <v>8.2000000000000003E-2</v>
      </c>
      <c r="K16" s="366">
        <v>1</v>
      </c>
      <c r="L16" s="1"/>
      <c r="N16" s="1"/>
    </row>
    <row r="17" spans="1:14" ht="20.25" customHeight="1" x14ac:dyDescent="0.15">
      <c r="A17" s="640" t="s">
        <v>37</v>
      </c>
      <c r="B17" s="219">
        <f>B7+B9+B11+B13+B15+B5</f>
        <v>1210</v>
      </c>
      <c r="C17" s="219">
        <f>C7+C9+C11+C13+C15+C5</f>
        <v>1051</v>
      </c>
      <c r="D17" s="219">
        <f t="shared" ref="D17:I17" si="6">D7+D9+D11+D13+D15+D5</f>
        <v>1606</v>
      </c>
      <c r="E17" s="219">
        <f t="shared" si="6"/>
        <v>3475</v>
      </c>
      <c r="F17" s="219">
        <f t="shared" si="6"/>
        <v>2899</v>
      </c>
      <c r="G17" s="219">
        <f t="shared" si="6"/>
        <v>3098</v>
      </c>
      <c r="H17" s="219">
        <f t="shared" si="6"/>
        <v>2934</v>
      </c>
      <c r="I17" s="219">
        <f t="shared" si="6"/>
        <v>1826</v>
      </c>
      <c r="J17" s="219">
        <f>J7+J9+J11+J13+J15+J5</f>
        <v>2683</v>
      </c>
      <c r="K17" s="226">
        <f>K7+K9+K11+K13+K15+K5</f>
        <v>20782</v>
      </c>
      <c r="L17" s="1"/>
      <c r="N17" s="1"/>
    </row>
    <row r="18" spans="1:14" ht="17.25" customHeight="1" x14ac:dyDescent="0.15">
      <c r="A18" s="641"/>
      <c r="B18" s="369">
        <f>B17/$K17</f>
        <v>5.8223462611875665E-2</v>
      </c>
      <c r="C18" s="369">
        <f t="shared" ref="C18:J18" si="7">C17/$K17</f>
        <v>5.057261091329035E-2</v>
      </c>
      <c r="D18" s="369">
        <f t="shared" si="7"/>
        <v>7.7278414012125873E-2</v>
      </c>
      <c r="E18" s="369">
        <f t="shared" si="7"/>
        <v>0.16721201039360986</v>
      </c>
      <c r="F18" s="369">
        <v>0.14000000000000001</v>
      </c>
      <c r="G18" s="369">
        <f t="shared" si="7"/>
        <v>0.14907131171205851</v>
      </c>
      <c r="H18" s="369">
        <f t="shared" si="7"/>
        <v>0.14117986719276296</v>
      </c>
      <c r="I18" s="369">
        <f t="shared" si="7"/>
        <v>8.7864498123376003E-2</v>
      </c>
      <c r="J18" s="369">
        <f t="shared" si="7"/>
        <v>0.12910210759310942</v>
      </c>
      <c r="K18" s="370">
        <v>1</v>
      </c>
      <c r="L18" s="1"/>
      <c r="N18" s="1"/>
    </row>
    <row r="19" spans="1:14" ht="11.25" customHeight="1" x14ac:dyDescent="0.15">
      <c r="A19"/>
      <c r="B19" s="402"/>
      <c r="C19" s="402"/>
      <c r="D19" s="402"/>
      <c r="E19" s="402"/>
      <c r="F19" s="402"/>
      <c r="G19" s="402"/>
      <c r="H19" s="402"/>
      <c r="I19" s="402"/>
      <c r="J19" s="402"/>
      <c r="K19" s="402"/>
      <c r="L19" s="1"/>
      <c r="N19" s="1"/>
    </row>
    <row r="20" spans="1:14" ht="18.75" customHeight="1" x14ac:dyDescent="0.15">
      <c r="A20" s="92" t="s">
        <v>176</v>
      </c>
      <c r="K20" s="231" t="s">
        <v>133</v>
      </c>
    </row>
    <row r="21" spans="1:14" ht="26.25" customHeight="1" x14ac:dyDescent="0.15">
      <c r="A21" s="401" t="s">
        <v>60</v>
      </c>
      <c r="B21" s="458" t="s">
        <v>198</v>
      </c>
      <c r="C21" s="224" t="s">
        <v>197</v>
      </c>
      <c r="D21" s="224" t="s">
        <v>196</v>
      </c>
      <c r="E21" s="224" t="s">
        <v>195</v>
      </c>
      <c r="F21" s="224" t="s">
        <v>194</v>
      </c>
      <c r="G21" s="224" t="s">
        <v>193</v>
      </c>
      <c r="H21" s="224" t="s">
        <v>192</v>
      </c>
      <c r="I21" s="224" t="s">
        <v>191</v>
      </c>
      <c r="J21" s="224" t="s">
        <v>190</v>
      </c>
      <c r="K21" s="223" t="s">
        <v>10</v>
      </c>
      <c r="L21" s="1"/>
      <c r="N21" s="1"/>
    </row>
    <row r="22" spans="1:14" ht="20.25" customHeight="1" x14ac:dyDescent="0.15">
      <c r="A22" s="634" t="s">
        <v>15</v>
      </c>
      <c r="B22" s="459">
        <v>0</v>
      </c>
      <c r="C22" s="247"/>
      <c r="D22" s="219">
        <v>848</v>
      </c>
      <c r="E22" s="219">
        <v>1977</v>
      </c>
      <c r="F22" s="219">
        <v>1337</v>
      </c>
      <c r="G22" s="219">
        <v>1528</v>
      </c>
      <c r="H22" s="219">
        <v>1587</v>
      </c>
      <c r="I22" s="219">
        <v>882</v>
      </c>
      <c r="J22" s="219">
        <f>611+400</f>
        <v>1011</v>
      </c>
      <c r="K22" s="218">
        <f>SUM(B22:J22)</f>
        <v>9170</v>
      </c>
      <c r="L22" s="1"/>
      <c r="N22" s="1"/>
    </row>
    <row r="23" spans="1:14" s="222" customFormat="1" ht="17.25" customHeight="1" x14ac:dyDescent="0.15">
      <c r="A23" s="642"/>
      <c r="B23" s="457" t="s">
        <v>217</v>
      </c>
      <c r="C23" s="371" t="s">
        <v>217</v>
      </c>
      <c r="D23" s="230">
        <f>D22/$K22</f>
        <v>9.247546346782988E-2</v>
      </c>
      <c r="E23" s="230">
        <f t="shared" ref="E23:J23" si="8">E22/$K22</f>
        <v>0.21559432933478734</v>
      </c>
      <c r="F23" s="230">
        <f t="shared" si="8"/>
        <v>0.14580152671755725</v>
      </c>
      <c r="G23" s="230">
        <f t="shared" si="8"/>
        <v>0.16663031624863686</v>
      </c>
      <c r="H23" s="230">
        <f t="shared" si="8"/>
        <v>0.17306434023991277</v>
      </c>
      <c r="I23" s="230">
        <f t="shared" si="8"/>
        <v>9.6183206106870228E-2</v>
      </c>
      <c r="J23" s="230">
        <f t="shared" si="8"/>
        <v>0.11025081788440567</v>
      </c>
      <c r="K23" s="366">
        <v>1</v>
      </c>
    </row>
    <row r="24" spans="1:14" ht="20.25" customHeight="1" x14ac:dyDescent="0.15">
      <c r="A24" s="636" t="s">
        <v>16</v>
      </c>
      <c r="B24" s="460"/>
      <c r="C24" s="221"/>
      <c r="D24" s="221"/>
      <c r="E24" s="248">
        <v>0</v>
      </c>
      <c r="F24" s="248">
        <v>0</v>
      </c>
      <c r="G24" s="248">
        <v>0</v>
      </c>
      <c r="H24" s="248">
        <v>0</v>
      </c>
      <c r="I24" s="248">
        <v>0</v>
      </c>
      <c r="J24" s="248">
        <v>0</v>
      </c>
      <c r="K24" s="220"/>
      <c r="L24" s="1"/>
      <c r="N24" s="1"/>
    </row>
    <row r="25" spans="1:14" ht="17.25" customHeight="1" x14ac:dyDescent="0.15">
      <c r="A25" s="637"/>
      <c r="B25" s="457" t="s">
        <v>217</v>
      </c>
      <c r="C25" s="371" t="s">
        <v>217</v>
      </c>
      <c r="D25" s="371" t="s">
        <v>217</v>
      </c>
      <c r="E25" s="371" t="s">
        <v>217</v>
      </c>
      <c r="F25" s="371" t="s">
        <v>217</v>
      </c>
      <c r="G25" s="371" t="s">
        <v>217</v>
      </c>
      <c r="H25" s="371" t="s">
        <v>217</v>
      </c>
      <c r="I25" s="371" t="s">
        <v>217</v>
      </c>
      <c r="J25" s="371" t="s">
        <v>217</v>
      </c>
      <c r="K25" s="461" t="s">
        <v>217</v>
      </c>
      <c r="L25" s="1"/>
      <c r="N25" s="1"/>
    </row>
    <row r="26" spans="1:14" ht="20.25" customHeight="1" x14ac:dyDescent="0.15">
      <c r="A26" s="638" t="s">
        <v>17</v>
      </c>
      <c r="B26" s="229">
        <f>31+76+79+64+59+54</f>
        <v>363</v>
      </c>
      <c r="C26" s="210">
        <f>60+57+38+68</f>
        <v>223</v>
      </c>
      <c r="D26" s="210">
        <v>121</v>
      </c>
      <c r="E26" s="210">
        <v>164</v>
      </c>
      <c r="F26" s="210">
        <v>159</v>
      </c>
      <c r="G26" s="210">
        <v>207</v>
      </c>
      <c r="H26" s="210">
        <v>219</v>
      </c>
      <c r="I26" s="210">
        <v>157</v>
      </c>
      <c r="J26" s="210">
        <f>191+136</f>
        <v>327</v>
      </c>
      <c r="K26" s="431">
        <f>SUM(B26:J26)</f>
        <v>1940</v>
      </c>
      <c r="L26" s="1"/>
      <c r="N26" s="1"/>
    </row>
    <row r="27" spans="1:14" ht="17.25" customHeight="1" x14ac:dyDescent="0.15">
      <c r="A27" s="635"/>
      <c r="B27" s="462">
        <f>B26/$K26</f>
        <v>0.18711340206185567</v>
      </c>
      <c r="C27" s="230">
        <f t="shared" ref="C27:J27" si="9">C26/$K26</f>
        <v>0.11494845360824742</v>
      </c>
      <c r="D27" s="230">
        <f t="shared" si="9"/>
        <v>6.2371134020618557E-2</v>
      </c>
      <c r="E27" s="230">
        <v>8.4000000000000005E-2</v>
      </c>
      <c r="F27" s="230">
        <f t="shared" si="9"/>
        <v>8.1958762886597938E-2</v>
      </c>
      <c r="G27" s="230">
        <f t="shared" si="9"/>
        <v>0.10670103092783505</v>
      </c>
      <c r="H27" s="230">
        <f t="shared" si="9"/>
        <v>0.11288659793814433</v>
      </c>
      <c r="I27" s="230">
        <f t="shared" si="9"/>
        <v>8.0927835051546396E-2</v>
      </c>
      <c r="J27" s="230">
        <f t="shared" si="9"/>
        <v>0.16855670103092785</v>
      </c>
      <c r="K27" s="366">
        <v>1</v>
      </c>
      <c r="L27" s="1"/>
      <c r="N27" s="1"/>
    </row>
    <row r="28" spans="1:14" ht="20.25" customHeight="1" x14ac:dyDescent="0.15">
      <c r="A28" s="640" t="s">
        <v>37</v>
      </c>
      <c r="B28" s="464">
        <f>B22+B24+B26</f>
        <v>363</v>
      </c>
      <c r="C28" s="219">
        <f t="shared" ref="C28:J28" si="10">C22+C24+C26</f>
        <v>223</v>
      </c>
      <c r="D28" s="219">
        <f t="shared" si="10"/>
        <v>969</v>
      </c>
      <c r="E28" s="219">
        <f t="shared" si="10"/>
        <v>2141</v>
      </c>
      <c r="F28" s="219">
        <f t="shared" si="10"/>
        <v>1496</v>
      </c>
      <c r="G28" s="219">
        <f t="shared" si="10"/>
        <v>1735</v>
      </c>
      <c r="H28" s="219">
        <f t="shared" si="10"/>
        <v>1806</v>
      </c>
      <c r="I28" s="219">
        <f t="shared" si="10"/>
        <v>1039</v>
      </c>
      <c r="J28" s="466">
        <f t="shared" si="10"/>
        <v>1338</v>
      </c>
      <c r="K28" s="463">
        <f>SUM(B28:J28)</f>
        <v>11110</v>
      </c>
      <c r="L28" s="1"/>
      <c r="M28" s="10"/>
      <c r="N28" s="11"/>
    </row>
    <row r="29" spans="1:14" ht="17.25" customHeight="1" x14ac:dyDescent="0.15">
      <c r="A29" s="641"/>
      <c r="B29" s="465">
        <f>B28/$K28</f>
        <v>3.2673267326732675E-2</v>
      </c>
      <c r="C29" s="369">
        <f t="shared" ref="C29:J29" si="11">C28/$K28</f>
        <v>2.0072007200720072E-2</v>
      </c>
      <c r="D29" s="369">
        <f t="shared" si="11"/>
        <v>8.7218721872187224E-2</v>
      </c>
      <c r="E29" s="369">
        <f t="shared" si="11"/>
        <v>0.1927092709270927</v>
      </c>
      <c r="F29" s="369">
        <f t="shared" si="11"/>
        <v>0.13465346534653466</v>
      </c>
      <c r="G29" s="369">
        <f t="shared" si="11"/>
        <v>0.15616561656165617</v>
      </c>
      <c r="H29" s="369">
        <f t="shared" si="11"/>
        <v>0.16255625562556256</v>
      </c>
      <c r="I29" s="369">
        <v>9.2999999999999999E-2</v>
      </c>
      <c r="J29" s="467">
        <f t="shared" si="11"/>
        <v>0.12043204320432044</v>
      </c>
      <c r="K29" s="370">
        <v>1</v>
      </c>
      <c r="L29" s="1"/>
      <c r="N29" s="1"/>
    </row>
    <row r="30" spans="1:14" ht="11.25" customHeight="1" x14ac:dyDescent="0.15">
      <c r="A30"/>
      <c r="B30" s="217"/>
      <c r="C30" s="217"/>
      <c r="D30" s="217"/>
      <c r="E30" s="217"/>
      <c r="F30" s="217"/>
      <c r="G30" s="217"/>
      <c r="H30" s="217"/>
      <c r="I30" s="217"/>
      <c r="J30" s="217"/>
      <c r="K30" s="216"/>
      <c r="L30" s="1"/>
      <c r="N30" s="1"/>
    </row>
    <row r="31" spans="1:14" ht="18.75" customHeight="1" x14ac:dyDescent="0.15">
      <c r="A31" s="92" t="s">
        <v>177</v>
      </c>
      <c r="M31" s="231" t="s">
        <v>133</v>
      </c>
    </row>
    <row r="32" spans="1:14" ht="26.25" customHeight="1" x14ac:dyDescent="0.15">
      <c r="A32" s="177" t="s">
        <v>60</v>
      </c>
      <c r="B32" s="215" t="s">
        <v>97</v>
      </c>
      <c r="C32" s="214" t="s">
        <v>98</v>
      </c>
      <c r="D32" s="214" t="s">
        <v>99</v>
      </c>
      <c r="E32" s="214" t="s">
        <v>100</v>
      </c>
      <c r="F32" s="214" t="s">
        <v>101</v>
      </c>
      <c r="G32" s="214" t="s">
        <v>102</v>
      </c>
      <c r="H32" s="213" t="s">
        <v>189</v>
      </c>
      <c r="I32" s="213" t="s">
        <v>188</v>
      </c>
      <c r="J32" s="213" t="s">
        <v>187</v>
      </c>
      <c r="K32" s="213" t="s">
        <v>186</v>
      </c>
      <c r="L32" s="213" t="s">
        <v>149</v>
      </c>
      <c r="M32" s="212" t="s">
        <v>10</v>
      </c>
      <c r="N32" s="11"/>
    </row>
    <row r="33" spans="1:14" ht="20.25" customHeight="1" x14ac:dyDescent="0.15">
      <c r="A33" s="632" t="s">
        <v>16</v>
      </c>
      <c r="B33" s="211">
        <v>2338</v>
      </c>
      <c r="C33" s="210">
        <v>2833</v>
      </c>
      <c r="D33" s="210">
        <v>1819</v>
      </c>
      <c r="E33" s="210">
        <v>1689</v>
      </c>
      <c r="F33" s="210">
        <v>1428</v>
      </c>
      <c r="G33" s="210">
        <v>1242</v>
      </c>
      <c r="H33" s="210">
        <v>2110</v>
      </c>
      <c r="I33" s="210">
        <v>1788</v>
      </c>
      <c r="J33" s="210">
        <v>1341</v>
      </c>
      <c r="K33" s="210">
        <v>1558</v>
      </c>
      <c r="L33" s="210">
        <v>245</v>
      </c>
      <c r="M33" s="209">
        <f>SUM(B33:L33)</f>
        <v>18391</v>
      </c>
      <c r="N33" s="11"/>
    </row>
    <row r="34" spans="1:14" ht="17.25" customHeight="1" x14ac:dyDescent="0.15">
      <c r="A34" s="633"/>
      <c r="B34" s="369">
        <f>B33/$M$33</f>
        <v>0.12712739927138275</v>
      </c>
      <c r="C34" s="369">
        <f>C33/$M$33</f>
        <v>0.15404273829590562</v>
      </c>
      <c r="D34" s="369">
        <f t="shared" ref="D34:L34" si="12">D33/$M$33</f>
        <v>9.8907074112337554E-2</v>
      </c>
      <c r="E34" s="369">
        <f t="shared" si="12"/>
        <v>9.1838399217008315E-2</v>
      </c>
      <c r="F34" s="369">
        <f t="shared" si="12"/>
        <v>7.7646675004078083E-2</v>
      </c>
      <c r="G34" s="369">
        <v>6.7000000000000004E-2</v>
      </c>
      <c r="H34" s="369">
        <f t="shared" si="12"/>
        <v>0.11473003099342069</v>
      </c>
      <c r="I34" s="369">
        <f t="shared" si="12"/>
        <v>9.7221467021912894E-2</v>
      </c>
      <c r="J34" s="369">
        <f t="shared" si="12"/>
        <v>7.2916100266434664E-2</v>
      </c>
      <c r="K34" s="369">
        <f t="shared" si="12"/>
        <v>8.4715349899407322E-2</v>
      </c>
      <c r="L34" s="369">
        <f t="shared" si="12"/>
        <v>1.3321733456582024E-2</v>
      </c>
      <c r="M34" s="370">
        <v>1</v>
      </c>
      <c r="N34" s="11"/>
    </row>
    <row r="35" spans="1:14" ht="20.25" customHeight="1" x14ac:dyDescent="0.15">
      <c r="N35" s="1"/>
    </row>
    <row r="36" spans="1:14" ht="20.25" customHeight="1" x14ac:dyDescent="0.15">
      <c r="N36" s="1"/>
    </row>
    <row r="37" spans="1:14" ht="20.25" customHeight="1" x14ac:dyDescent="0.15">
      <c r="N37" s="1"/>
    </row>
    <row r="38" spans="1:14" ht="20.25" customHeight="1" x14ac:dyDescent="0.15">
      <c r="N38" s="1"/>
    </row>
    <row r="39" spans="1:14" ht="20.25" customHeight="1" x14ac:dyDescent="0.15">
      <c r="N39" s="1"/>
    </row>
    <row r="40" spans="1:14" ht="20.25" customHeight="1" x14ac:dyDescent="0.15">
      <c r="N40" s="1"/>
    </row>
    <row r="41" spans="1:14" ht="20.25" customHeight="1" x14ac:dyDescent="0.15">
      <c r="N41" s="1"/>
    </row>
    <row r="42" spans="1:14" ht="20.25" customHeight="1" x14ac:dyDescent="0.15">
      <c r="N42" s="1"/>
    </row>
  </sheetData>
  <mergeCells count="12">
    <mergeCell ref="A33:A34"/>
    <mergeCell ref="A5:A6"/>
    <mergeCell ref="A7:A8"/>
    <mergeCell ref="A9:A10"/>
    <mergeCell ref="A11:A12"/>
    <mergeCell ref="A13:A14"/>
    <mergeCell ref="A15:A16"/>
    <mergeCell ref="A17:A18"/>
    <mergeCell ref="A22:A23"/>
    <mergeCell ref="A24:A25"/>
    <mergeCell ref="A26:A27"/>
    <mergeCell ref="A28:A29"/>
  </mergeCells>
  <phoneticPr fontId="11"/>
  <pageMargins left="0.78740157480314965" right="0.59055118110236227" top="0.70866141732283472" bottom="0.98425196850393704" header="0.51181102362204722" footer="0.51181102362204722"/>
  <pageSetup paperSize="9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/>
  </sheetPr>
  <dimension ref="A1:R19"/>
  <sheetViews>
    <sheetView workbookViewId="0"/>
  </sheetViews>
  <sheetFormatPr defaultColWidth="8.375" defaultRowHeight="20.25" customHeight="1" x14ac:dyDescent="0.15"/>
  <cols>
    <col min="1" max="1" width="9.625" style="4" customWidth="1"/>
    <col min="2" max="5" width="7.375" style="1" customWidth="1"/>
    <col min="6" max="6" width="8.125" style="1" customWidth="1"/>
    <col min="7" max="9" width="7.375" style="1" customWidth="1"/>
    <col min="10" max="10" width="8.125" style="1" customWidth="1"/>
    <col min="11" max="14" width="7.375" style="1" customWidth="1"/>
    <col min="15" max="15" width="8.125" style="1" customWidth="1"/>
    <col min="16" max="16" width="8.375" style="1" customWidth="1"/>
    <col min="17" max="17" width="9.75" style="1" customWidth="1"/>
    <col min="18" max="18" width="8.875" style="1" bestFit="1" customWidth="1"/>
    <col min="19" max="16384" width="8.375" style="1"/>
  </cols>
  <sheetData>
    <row r="1" spans="1:17" ht="20.25" customHeight="1" x14ac:dyDescent="0.15">
      <c r="A1" s="6" t="s">
        <v>221</v>
      </c>
      <c r="B1" s="6"/>
      <c r="C1" s="6"/>
      <c r="K1" s="6"/>
      <c r="L1" s="6"/>
      <c r="Q1" s="126" t="s">
        <v>1</v>
      </c>
    </row>
    <row r="2" spans="1:17" ht="20.25" hidden="1" customHeight="1" x14ac:dyDescent="0.15">
      <c r="A2" s="7" t="s">
        <v>66</v>
      </c>
      <c r="B2" s="6" t="s">
        <v>0</v>
      </c>
      <c r="C2" s="6"/>
      <c r="D2" s="6"/>
      <c r="K2" s="6" t="s">
        <v>0</v>
      </c>
      <c r="L2" s="6"/>
      <c r="M2" s="6"/>
    </row>
    <row r="3" spans="1:17" ht="3.75" customHeight="1" x14ac:dyDescent="0.15"/>
    <row r="4" spans="1:17" ht="27.75" customHeight="1" x14ac:dyDescent="0.15">
      <c r="A4" s="645" t="s">
        <v>14</v>
      </c>
      <c r="B4" s="646" t="s">
        <v>30</v>
      </c>
      <c r="C4" s="647"/>
      <c r="D4" s="647"/>
      <c r="E4" s="647"/>
      <c r="F4" s="648"/>
      <c r="G4" s="649" t="s">
        <v>8</v>
      </c>
      <c r="H4" s="647"/>
      <c r="I4" s="647"/>
      <c r="J4" s="650"/>
      <c r="K4" s="646" t="s">
        <v>89</v>
      </c>
      <c r="L4" s="647"/>
      <c r="M4" s="647"/>
      <c r="N4" s="647"/>
      <c r="O4" s="650"/>
      <c r="P4" s="651" t="s">
        <v>10</v>
      </c>
      <c r="Q4" s="643" t="s">
        <v>331</v>
      </c>
    </row>
    <row r="5" spans="1:17" ht="27.75" customHeight="1" x14ac:dyDescent="0.15">
      <c r="A5" s="645"/>
      <c r="B5" s="340" t="s">
        <v>62</v>
      </c>
      <c r="C5" s="327" t="s">
        <v>63</v>
      </c>
      <c r="D5" s="327" t="s">
        <v>64</v>
      </c>
      <c r="E5" s="341" t="s">
        <v>65</v>
      </c>
      <c r="F5" s="342" t="s">
        <v>21</v>
      </c>
      <c r="G5" s="343" t="s">
        <v>62</v>
      </c>
      <c r="H5" s="327" t="s">
        <v>63</v>
      </c>
      <c r="I5" s="341" t="s">
        <v>64</v>
      </c>
      <c r="J5" s="342" t="s">
        <v>21</v>
      </c>
      <c r="K5" s="340" t="s">
        <v>62</v>
      </c>
      <c r="L5" s="327" t="s">
        <v>63</v>
      </c>
      <c r="M5" s="327" t="s">
        <v>64</v>
      </c>
      <c r="N5" s="341" t="s">
        <v>65</v>
      </c>
      <c r="O5" s="472" t="s">
        <v>21</v>
      </c>
      <c r="P5" s="652"/>
      <c r="Q5" s="644"/>
    </row>
    <row r="6" spans="1:17" ht="31.5" customHeight="1" x14ac:dyDescent="0.15">
      <c r="A6" s="330" t="s">
        <v>151</v>
      </c>
      <c r="B6" s="333">
        <v>12343</v>
      </c>
      <c r="C6" s="22">
        <v>1145</v>
      </c>
      <c r="D6" s="22">
        <v>12654</v>
      </c>
      <c r="E6" s="335">
        <v>4824</v>
      </c>
      <c r="F6" s="338">
        <f t="shared" ref="F6:F11" si="0">SUM(B6:E6)</f>
        <v>30966</v>
      </c>
      <c r="G6" s="331">
        <v>5658</v>
      </c>
      <c r="H6" s="22">
        <v>1228</v>
      </c>
      <c r="I6" s="335">
        <v>9340</v>
      </c>
      <c r="J6" s="338">
        <f t="shared" ref="J6:J10" si="1">SUM(G6:I6)</f>
        <v>16226</v>
      </c>
      <c r="K6" s="333">
        <v>5573</v>
      </c>
      <c r="L6" s="22">
        <v>1266</v>
      </c>
      <c r="M6" s="22">
        <v>12576</v>
      </c>
      <c r="N6" s="335">
        <v>5860</v>
      </c>
      <c r="O6" s="473">
        <f t="shared" ref="O6:O11" si="2">SUM(K6:N6)</f>
        <v>25275</v>
      </c>
      <c r="P6" s="338">
        <f t="shared" ref="P6:P9" si="3">F6+J6+O6</f>
        <v>72467</v>
      </c>
      <c r="Q6" s="333">
        <f>P6</f>
        <v>72467</v>
      </c>
    </row>
    <row r="7" spans="1:17" ht="31.5" customHeight="1" x14ac:dyDescent="0.15">
      <c r="A7" s="330" t="s">
        <v>152</v>
      </c>
      <c r="B7" s="333">
        <v>11521</v>
      </c>
      <c r="C7" s="22">
        <v>1135</v>
      </c>
      <c r="D7" s="22">
        <v>12465</v>
      </c>
      <c r="E7" s="335">
        <v>4383</v>
      </c>
      <c r="F7" s="338">
        <f t="shared" si="0"/>
        <v>29504</v>
      </c>
      <c r="G7" s="331">
        <v>5899</v>
      </c>
      <c r="H7" s="22">
        <v>1265</v>
      </c>
      <c r="I7" s="335">
        <v>9117</v>
      </c>
      <c r="J7" s="338">
        <f t="shared" si="1"/>
        <v>16281</v>
      </c>
      <c r="K7" s="333">
        <v>5574</v>
      </c>
      <c r="L7" s="22">
        <v>1313</v>
      </c>
      <c r="M7" s="22">
        <v>13037</v>
      </c>
      <c r="N7" s="335">
        <v>6138</v>
      </c>
      <c r="O7" s="338">
        <f t="shared" si="2"/>
        <v>26062</v>
      </c>
      <c r="P7" s="356">
        <f t="shared" si="3"/>
        <v>71847</v>
      </c>
      <c r="Q7" s="333">
        <f t="shared" ref="Q7:Q11" si="4">Q6+P7</f>
        <v>144314</v>
      </c>
    </row>
    <row r="8" spans="1:17" ht="27.75" customHeight="1" x14ac:dyDescent="0.15">
      <c r="A8" s="330" t="s">
        <v>153</v>
      </c>
      <c r="B8" s="333">
        <v>11274</v>
      </c>
      <c r="C8" s="22">
        <v>1117</v>
      </c>
      <c r="D8" s="22">
        <v>11229</v>
      </c>
      <c r="E8" s="335">
        <v>3864</v>
      </c>
      <c r="F8" s="338">
        <f t="shared" si="0"/>
        <v>27484</v>
      </c>
      <c r="G8" s="331">
        <v>6049</v>
      </c>
      <c r="H8" s="22">
        <v>1164</v>
      </c>
      <c r="I8" s="335">
        <v>8352</v>
      </c>
      <c r="J8" s="338">
        <f t="shared" si="1"/>
        <v>15565</v>
      </c>
      <c r="K8" s="333">
        <v>5970</v>
      </c>
      <c r="L8" s="22">
        <v>1275</v>
      </c>
      <c r="M8" s="22">
        <v>12774</v>
      </c>
      <c r="N8" s="335">
        <v>5313</v>
      </c>
      <c r="O8" s="338">
        <f t="shared" si="2"/>
        <v>25332</v>
      </c>
      <c r="P8" s="356">
        <f t="shared" si="3"/>
        <v>68381</v>
      </c>
      <c r="Q8" s="333">
        <f t="shared" si="4"/>
        <v>212695</v>
      </c>
    </row>
    <row r="9" spans="1:17" ht="27.75" customHeight="1" x14ac:dyDescent="0.15">
      <c r="A9" s="329" t="s">
        <v>150</v>
      </c>
      <c r="B9" s="334">
        <v>11931</v>
      </c>
      <c r="C9" s="23">
        <v>1149</v>
      </c>
      <c r="D9" s="23">
        <v>11817</v>
      </c>
      <c r="E9" s="336">
        <v>3871</v>
      </c>
      <c r="F9" s="338">
        <f t="shared" si="0"/>
        <v>28768</v>
      </c>
      <c r="G9" s="332">
        <v>5915</v>
      </c>
      <c r="H9" s="23">
        <v>1079</v>
      </c>
      <c r="I9" s="336">
        <v>8861</v>
      </c>
      <c r="J9" s="339">
        <f t="shared" si="1"/>
        <v>15855</v>
      </c>
      <c r="K9" s="334">
        <v>5370</v>
      </c>
      <c r="L9" s="23">
        <v>1067</v>
      </c>
      <c r="M9" s="23">
        <v>12406</v>
      </c>
      <c r="N9" s="336">
        <v>5384</v>
      </c>
      <c r="O9" s="338">
        <f t="shared" si="2"/>
        <v>24227</v>
      </c>
      <c r="P9" s="356">
        <f t="shared" si="3"/>
        <v>68850</v>
      </c>
      <c r="Q9" s="333">
        <f t="shared" si="4"/>
        <v>281545</v>
      </c>
    </row>
    <row r="10" spans="1:17" ht="27.75" customHeight="1" x14ac:dyDescent="0.15">
      <c r="A10" s="330" t="s">
        <v>200</v>
      </c>
      <c r="B10" s="334">
        <v>12495</v>
      </c>
      <c r="C10" s="23">
        <v>1081</v>
      </c>
      <c r="D10" s="23">
        <v>11239</v>
      </c>
      <c r="E10" s="336">
        <v>3964</v>
      </c>
      <c r="F10" s="338">
        <f t="shared" si="0"/>
        <v>28779</v>
      </c>
      <c r="G10" s="332">
        <v>5898</v>
      </c>
      <c r="H10" s="23">
        <v>1021</v>
      </c>
      <c r="I10" s="336">
        <v>8329</v>
      </c>
      <c r="J10" s="339">
        <f t="shared" si="1"/>
        <v>15248</v>
      </c>
      <c r="K10" s="334">
        <v>5481</v>
      </c>
      <c r="L10" s="23">
        <v>1045</v>
      </c>
      <c r="M10" s="23">
        <v>11861</v>
      </c>
      <c r="N10" s="336">
        <v>5262</v>
      </c>
      <c r="O10" s="338">
        <f t="shared" si="2"/>
        <v>23649</v>
      </c>
      <c r="P10" s="357">
        <v>67676</v>
      </c>
      <c r="Q10" s="333">
        <f t="shared" si="4"/>
        <v>349221</v>
      </c>
    </row>
    <row r="11" spans="1:17" ht="27.75" customHeight="1" x14ac:dyDescent="0.15">
      <c r="A11" s="330" t="s">
        <v>214</v>
      </c>
      <c r="B11" s="334">
        <v>6337</v>
      </c>
      <c r="C11" s="23">
        <v>613</v>
      </c>
      <c r="D11" s="23">
        <v>5451</v>
      </c>
      <c r="E11" s="336">
        <v>1542</v>
      </c>
      <c r="F11" s="339">
        <f t="shared" si="0"/>
        <v>13943</v>
      </c>
      <c r="G11" s="332">
        <v>1913</v>
      </c>
      <c r="H11" s="23">
        <v>413</v>
      </c>
      <c r="I11" s="336">
        <v>3289</v>
      </c>
      <c r="J11" s="339">
        <f>SUM(G11:I11)</f>
        <v>5615</v>
      </c>
      <c r="K11" s="334">
        <v>1266</v>
      </c>
      <c r="L11" s="23">
        <v>294</v>
      </c>
      <c r="M11" s="23">
        <v>3691</v>
      </c>
      <c r="N11" s="336">
        <v>1775</v>
      </c>
      <c r="O11" s="339">
        <f t="shared" si="2"/>
        <v>7026</v>
      </c>
      <c r="P11" s="357">
        <f t="shared" ref="P11:P14" si="5">F11+J11+O11</f>
        <v>26584</v>
      </c>
      <c r="Q11" s="333">
        <f t="shared" si="4"/>
        <v>375805</v>
      </c>
    </row>
    <row r="12" spans="1:17" ht="27.75" customHeight="1" x14ac:dyDescent="0.15">
      <c r="A12" s="400" t="s">
        <v>223</v>
      </c>
      <c r="B12" s="334">
        <v>6279</v>
      </c>
      <c r="C12" s="23">
        <v>550</v>
      </c>
      <c r="D12" s="23">
        <v>5140</v>
      </c>
      <c r="E12" s="336">
        <v>1644</v>
      </c>
      <c r="F12" s="339">
        <f t="shared" ref="F12:F14" si="6">SUM(B12:E12)</f>
        <v>13613</v>
      </c>
      <c r="G12" s="332">
        <v>2199</v>
      </c>
      <c r="H12" s="23">
        <v>273</v>
      </c>
      <c r="I12" s="336">
        <v>3447</v>
      </c>
      <c r="J12" s="339">
        <f>SUM(G12:I12)</f>
        <v>5919</v>
      </c>
      <c r="K12" s="334">
        <v>1963</v>
      </c>
      <c r="L12" s="23">
        <v>514</v>
      </c>
      <c r="M12" s="23">
        <v>5047</v>
      </c>
      <c r="N12" s="336">
        <v>2686</v>
      </c>
      <c r="O12" s="339">
        <f t="shared" ref="O12:O14" si="7">SUM(K12:N12)</f>
        <v>10210</v>
      </c>
      <c r="P12" s="357">
        <f t="shared" si="5"/>
        <v>29742</v>
      </c>
      <c r="Q12" s="333">
        <f>Q11+P12</f>
        <v>405547</v>
      </c>
    </row>
    <row r="13" spans="1:17" ht="27.75" customHeight="1" x14ac:dyDescent="0.15">
      <c r="A13" s="330" t="s">
        <v>229</v>
      </c>
      <c r="B13" s="333">
        <v>5885</v>
      </c>
      <c r="C13" s="22">
        <v>551</v>
      </c>
      <c r="D13" s="22">
        <v>4873</v>
      </c>
      <c r="E13" s="335">
        <v>1307</v>
      </c>
      <c r="F13" s="338">
        <f t="shared" si="6"/>
        <v>12616</v>
      </c>
      <c r="G13" s="331">
        <v>2275</v>
      </c>
      <c r="H13" s="22">
        <v>300</v>
      </c>
      <c r="I13" s="335">
        <v>3592</v>
      </c>
      <c r="J13" s="338">
        <f>SUM(G13:I13)</f>
        <v>6167</v>
      </c>
      <c r="K13" s="333">
        <v>2028</v>
      </c>
      <c r="L13" s="22">
        <v>580</v>
      </c>
      <c r="M13" s="22">
        <v>5285</v>
      </c>
      <c r="N13" s="335">
        <v>2240</v>
      </c>
      <c r="O13" s="338">
        <f t="shared" si="7"/>
        <v>10133</v>
      </c>
      <c r="P13" s="356">
        <f t="shared" si="5"/>
        <v>28916</v>
      </c>
      <c r="Q13" s="333">
        <f>Q12+P13</f>
        <v>434463</v>
      </c>
    </row>
    <row r="14" spans="1:17" ht="27.75" customHeight="1" x14ac:dyDescent="0.15">
      <c r="A14" s="330" t="s">
        <v>233</v>
      </c>
      <c r="B14" s="333">
        <v>10053</v>
      </c>
      <c r="C14" s="22">
        <v>889</v>
      </c>
      <c r="D14" s="22">
        <v>7467</v>
      </c>
      <c r="E14" s="335">
        <v>1035</v>
      </c>
      <c r="F14" s="338">
        <f t="shared" si="6"/>
        <v>19444</v>
      </c>
      <c r="G14" s="331">
        <v>5117</v>
      </c>
      <c r="H14" s="22">
        <v>678</v>
      </c>
      <c r="I14" s="335">
        <v>5371</v>
      </c>
      <c r="J14" s="338">
        <f>SUM(G14:I14)</f>
        <v>11166</v>
      </c>
      <c r="K14" s="333">
        <v>5849</v>
      </c>
      <c r="L14" s="22">
        <v>1275</v>
      </c>
      <c r="M14" s="22">
        <v>11421</v>
      </c>
      <c r="N14" s="335">
        <v>4318</v>
      </c>
      <c r="O14" s="338">
        <f t="shared" si="7"/>
        <v>22863</v>
      </c>
      <c r="P14" s="356">
        <f t="shared" si="5"/>
        <v>53473</v>
      </c>
      <c r="Q14" s="333">
        <f>Q13+P14</f>
        <v>487936</v>
      </c>
    </row>
    <row r="15" spans="1:17" ht="27.75" customHeight="1" x14ac:dyDescent="0.15">
      <c r="A15" s="244" t="s">
        <v>242</v>
      </c>
      <c r="B15" s="74">
        <v>11278</v>
      </c>
      <c r="C15" s="75">
        <v>980</v>
      </c>
      <c r="D15" s="75">
        <v>7669</v>
      </c>
      <c r="E15" s="76">
        <v>855</v>
      </c>
      <c r="F15" s="77">
        <f t="shared" ref="F15" si="8">SUM(B15:E15)</f>
        <v>20782</v>
      </c>
      <c r="G15" s="78">
        <v>5318</v>
      </c>
      <c r="H15" s="75">
        <v>695</v>
      </c>
      <c r="I15" s="76">
        <v>5097</v>
      </c>
      <c r="J15" s="77">
        <f>SUM(G15:I15)</f>
        <v>11110</v>
      </c>
      <c r="K15" s="74">
        <v>4750</v>
      </c>
      <c r="L15" s="75">
        <v>880</v>
      </c>
      <c r="M15" s="75">
        <v>9117</v>
      </c>
      <c r="N15" s="76">
        <v>3644</v>
      </c>
      <c r="O15" s="77">
        <f t="shared" ref="O15" si="9">SUM(K15:N15)</f>
        <v>18391</v>
      </c>
      <c r="P15" s="163">
        <f t="shared" ref="P15" si="10">F15+J15+O15</f>
        <v>50283</v>
      </c>
      <c r="Q15" s="74">
        <f>Q14+P15</f>
        <v>538219</v>
      </c>
    </row>
    <row r="16" spans="1:17" ht="12.75" customHeight="1" x14ac:dyDescent="0.15">
      <c r="A16" s="12"/>
      <c r="C16" s="2"/>
      <c r="D16" s="2"/>
      <c r="E16" s="2"/>
      <c r="F16" s="2"/>
      <c r="K16" s="2"/>
      <c r="L16" s="2"/>
      <c r="M16" s="2"/>
      <c r="N16" s="2"/>
      <c r="O16" s="2"/>
    </row>
    <row r="17" spans="1:18" ht="12.75" customHeight="1" x14ac:dyDescent="0.15">
      <c r="A17" s="12"/>
      <c r="C17" s="2"/>
      <c r="D17" s="2"/>
      <c r="F17" s="2"/>
      <c r="K17" s="2"/>
      <c r="L17" s="2"/>
      <c r="M17" s="2"/>
      <c r="N17" s="2"/>
      <c r="O17" s="2"/>
    </row>
    <row r="18" spans="1:18" ht="17.25" customHeight="1" x14ac:dyDescent="0.15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</row>
    <row r="19" spans="1:18" ht="12.75" customHeight="1" x14ac:dyDescent="0.15"/>
  </sheetData>
  <mergeCells count="6">
    <mergeCell ref="Q4:Q5"/>
    <mergeCell ref="A4:A5"/>
    <mergeCell ref="B4:F4"/>
    <mergeCell ref="G4:J4"/>
    <mergeCell ref="K4:O4"/>
    <mergeCell ref="P4:P5"/>
  </mergeCells>
  <phoneticPr fontId="11"/>
  <pageMargins left="0.82677165354330717" right="0.43307086614173229" top="0.94488188976377963" bottom="0.15748031496062992" header="0" footer="0"/>
  <pageSetup paperSize="9" fitToWidth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/>
  </sheetPr>
  <dimension ref="A1:AA33"/>
  <sheetViews>
    <sheetView workbookViewId="0"/>
  </sheetViews>
  <sheetFormatPr defaultColWidth="9.25" defaultRowHeight="15.75" customHeight="1" x14ac:dyDescent="0.15"/>
  <cols>
    <col min="1" max="1" width="9.625" style="1" customWidth="1"/>
    <col min="2" max="2" width="7.25" style="1" customWidth="1"/>
    <col min="3" max="3" width="7.25" style="1" hidden="1" customWidth="1"/>
    <col min="4" max="8" width="7.25" style="1" customWidth="1"/>
    <col min="9" max="9" width="8.25" style="1" customWidth="1"/>
    <col min="10" max="12" width="7.25" style="1" customWidth="1"/>
    <col min="13" max="13" width="8.25" style="1" customWidth="1"/>
    <col min="14" max="14" width="7.125" style="1" customWidth="1"/>
    <col min="15" max="15" width="8.25" style="2" customWidth="1"/>
    <col min="16" max="16384" width="9.25" style="2"/>
  </cols>
  <sheetData>
    <row r="1" spans="1:17" ht="20.25" customHeight="1" x14ac:dyDescent="0.15">
      <c r="A1" s="6" t="s">
        <v>218</v>
      </c>
      <c r="B1" s="6"/>
      <c r="Q1" s="363" t="s">
        <v>1</v>
      </c>
    </row>
    <row r="2" spans="1:17" ht="20.25" hidden="1" customHeight="1" x14ac:dyDescent="0.15">
      <c r="A2" s="6" t="s">
        <v>67</v>
      </c>
      <c r="B2" s="6" t="s">
        <v>61</v>
      </c>
      <c r="Q2" s="363"/>
    </row>
    <row r="3" spans="1:17" s="1" customFormat="1" ht="7.5" customHeight="1" x14ac:dyDescent="0.15">
      <c r="A3" s="4"/>
      <c r="L3" s="5"/>
      <c r="Q3" s="364"/>
    </row>
    <row r="4" spans="1:17" ht="27" customHeight="1" x14ac:dyDescent="0.15">
      <c r="A4" s="645" t="s">
        <v>14</v>
      </c>
      <c r="B4" s="654" t="s">
        <v>30</v>
      </c>
      <c r="C4" s="655"/>
      <c r="D4" s="655"/>
      <c r="E4" s="655"/>
      <c r="F4" s="655"/>
      <c r="G4" s="655"/>
      <c r="H4" s="655"/>
      <c r="I4" s="656"/>
      <c r="J4" s="657" t="s">
        <v>8</v>
      </c>
      <c r="K4" s="655"/>
      <c r="L4" s="655"/>
      <c r="M4" s="645"/>
      <c r="N4" s="658" t="s">
        <v>89</v>
      </c>
      <c r="O4" s="659"/>
      <c r="P4" s="660" t="s">
        <v>10</v>
      </c>
      <c r="Q4" s="653" t="s">
        <v>330</v>
      </c>
    </row>
    <row r="5" spans="1:17" ht="27.75" customHeight="1" x14ac:dyDescent="0.15">
      <c r="A5" s="645"/>
      <c r="B5" s="361" t="s">
        <v>15</v>
      </c>
      <c r="C5" s="21" t="s">
        <v>16</v>
      </c>
      <c r="D5" s="21" t="s">
        <v>17</v>
      </c>
      <c r="E5" s="24" t="s">
        <v>3</v>
      </c>
      <c r="F5" s="21" t="s">
        <v>19</v>
      </c>
      <c r="G5" s="21" t="s">
        <v>20</v>
      </c>
      <c r="H5" s="359" t="s">
        <v>2</v>
      </c>
      <c r="I5" s="337" t="s">
        <v>21</v>
      </c>
      <c r="J5" s="360" t="s">
        <v>15</v>
      </c>
      <c r="K5" s="21" t="s">
        <v>16</v>
      </c>
      <c r="L5" s="245" t="s">
        <v>17</v>
      </c>
      <c r="M5" s="337" t="s">
        <v>21</v>
      </c>
      <c r="N5" s="352" t="s">
        <v>16</v>
      </c>
      <c r="O5" s="337" t="s">
        <v>21</v>
      </c>
      <c r="P5" s="660"/>
      <c r="Q5" s="654"/>
    </row>
    <row r="6" spans="1:17" ht="27" customHeight="1" x14ac:dyDescent="0.15">
      <c r="A6" s="330" t="s">
        <v>151</v>
      </c>
      <c r="B6" s="345">
        <f>4120+688+8667+4824</f>
        <v>18299</v>
      </c>
      <c r="C6" s="237"/>
      <c r="D6" s="28">
        <f>1428+457+3987</f>
        <v>5872</v>
      </c>
      <c r="E6" s="28">
        <v>1908</v>
      </c>
      <c r="F6" s="28">
        <v>447</v>
      </c>
      <c r="G6" s="28">
        <v>1590</v>
      </c>
      <c r="H6" s="347">
        <v>2850</v>
      </c>
      <c r="I6" s="349">
        <f t="shared" ref="I6:I10" si="0">SUM(B6:H6)</f>
        <v>30966</v>
      </c>
      <c r="J6" s="344">
        <f>2520+442+4505</f>
        <v>7467</v>
      </c>
      <c r="K6" s="28">
        <f>2262+573+2914</f>
        <v>5749</v>
      </c>
      <c r="L6" s="347">
        <f>876+213+1921</f>
        <v>3010</v>
      </c>
      <c r="M6" s="349">
        <f t="shared" ref="M6:M14" si="1">SUM(J6:L6)</f>
        <v>16226</v>
      </c>
      <c r="N6" s="353">
        <v>25275</v>
      </c>
      <c r="O6" s="349">
        <f t="shared" ref="O6:O14" si="2">N6</f>
        <v>25275</v>
      </c>
      <c r="P6" s="350">
        <f t="shared" ref="P6:P14" si="3">I6+M6+O6</f>
        <v>72467</v>
      </c>
      <c r="Q6" s="345">
        <f>P6</f>
        <v>72467</v>
      </c>
    </row>
    <row r="7" spans="1:17" ht="27" customHeight="1" x14ac:dyDescent="0.15">
      <c r="A7" s="330" t="s">
        <v>152</v>
      </c>
      <c r="B7" s="345">
        <f>4409+696+8790+4383</f>
        <v>18278</v>
      </c>
      <c r="C7" s="237"/>
      <c r="D7" s="28">
        <f>1275+439+3675</f>
        <v>5389</v>
      </c>
      <c r="E7" s="28">
        <v>1665</v>
      </c>
      <c r="F7" s="28">
        <v>363</v>
      </c>
      <c r="G7" s="28">
        <v>1310</v>
      </c>
      <c r="H7" s="347">
        <v>2499</v>
      </c>
      <c r="I7" s="349">
        <f t="shared" si="0"/>
        <v>29504</v>
      </c>
      <c r="J7" s="344">
        <f>2977+530+4760</f>
        <v>8267</v>
      </c>
      <c r="K7" s="28">
        <f>2221+553+2782</f>
        <v>5556</v>
      </c>
      <c r="L7" s="347">
        <f>701+182+1575</f>
        <v>2458</v>
      </c>
      <c r="M7" s="349">
        <f t="shared" si="1"/>
        <v>16281</v>
      </c>
      <c r="N7" s="353">
        <v>26062</v>
      </c>
      <c r="O7" s="349">
        <f t="shared" si="2"/>
        <v>26062</v>
      </c>
      <c r="P7" s="350">
        <f t="shared" si="3"/>
        <v>71847</v>
      </c>
      <c r="Q7" s="345">
        <f t="shared" ref="Q7:Q15" si="4">Q6+P7</f>
        <v>144314</v>
      </c>
    </row>
    <row r="8" spans="1:17" ht="27" customHeight="1" x14ac:dyDescent="0.15">
      <c r="A8" s="330" t="s">
        <v>153</v>
      </c>
      <c r="B8" s="345">
        <v>16690</v>
      </c>
      <c r="C8" s="237"/>
      <c r="D8" s="28">
        <v>5125</v>
      </c>
      <c r="E8" s="28">
        <v>1670</v>
      </c>
      <c r="F8" s="28">
        <v>372</v>
      </c>
      <c r="G8" s="28">
        <v>1288</v>
      </c>
      <c r="H8" s="347">
        <v>2339</v>
      </c>
      <c r="I8" s="349">
        <f t="shared" si="0"/>
        <v>27484</v>
      </c>
      <c r="J8" s="344">
        <v>7805</v>
      </c>
      <c r="K8" s="28">
        <v>5539</v>
      </c>
      <c r="L8" s="347">
        <v>2221</v>
      </c>
      <c r="M8" s="349">
        <f t="shared" si="1"/>
        <v>15565</v>
      </c>
      <c r="N8" s="353">
        <v>25332</v>
      </c>
      <c r="O8" s="349">
        <f t="shared" si="2"/>
        <v>25332</v>
      </c>
      <c r="P8" s="350">
        <f t="shared" si="3"/>
        <v>68381</v>
      </c>
      <c r="Q8" s="345">
        <f t="shared" si="4"/>
        <v>212695</v>
      </c>
    </row>
    <row r="9" spans="1:17" ht="27" customHeight="1" x14ac:dyDescent="0.15">
      <c r="A9" s="329" t="s">
        <v>150</v>
      </c>
      <c r="B9" s="346">
        <v>17299</v>
      </c>
      <c r="C9" s="238"/>
      <c r="D9" s="232">
        <v>5261</v>
      </c>
      <c r="E9" s="232">
        <v>1876</v>
      </c>
      <c r="F9" s="232">
        <v>368</v>
      </c>
      <c r="G9" s="232">
        <v>1418</v>
      </c>
      <c r="H9" s="348">
        <v>2546</v>
      </c>
      <c r="I9" s="349">
        <f t="shared" si="0"/>
        <v>28768</v>
      </c>
      <c r="J9" s="197">
        <v>8070</v>
      </c>
      <c r="K9" s="232">
        <v>5299</v>
      </c>
      <c r="L9" s="348">
        <v>2486</v>
      </c>
      <c r="M9" s="349">
        <f t="shared" si="1"/>
        <v>15855</v>
      </c>
      <c r="N9" s="354">
        <v>24227</v>
      </c>
      <c r="O9" s="349">
        <f t="shared" si="2"/>
        <v>24227</v>
      </c>
      <c r="P9" s="350">
        <f t="shared" si="3"/>
        <v>68850</v>
      </c>
      <c r="Q9" s="345">
        <f t="shared" si="4"/>
        <v>281545</v>
      </c>
    </row>
    <row r="10" spans="1:17" ht="27" customHeight="1" x14ac:dyDescent="0.15">
      <c r="A10" s="330" t="s">
        <v>200</v>
      </c>
      <c r="B10" s="345">
        <v>16922</v>
      </c>
      <c r="C10" s="237">
        <v>0</v>
      </c>
      <c r="D10" s="28">
        <v>5237</v>
      </c>
      <c r="E10" s="28">
        <v>1844</v>
      </c>
      <c r="F10" s="28">
        <v>431</v>
      </c>
      <c r="G10" s="28">
        <v>1259</v>
      </c>
      <c r="H10" s="347">
        <v>3086</v>
      </c>
      <c r="I10" s="349">
        <f t="shared" si="0"/>
        <v>28779</v>
      </c>
      <c r="J10" s="344">
        <v>7956</v>
      </c>
      <c r="K10" s="28">
        <v>4811</v>
      </c>
      <c r="L10" s="347">
        <v>2481</v>
      </c>
      <c r="M10" s="349">
        <f t="shared" si="1"/>
        <v>15248</v>
      </c>
      <c r="N10" s="353">
        <v>23649</v>
      </c>
      <c r="O10" s="349">
        <f t="shared" si="2"/>
        <v>23649</v>
      </c>
      <c r="P10" s="350">
        <f t="shared" si="3"/>
        <v>67676</v>
      </c>
      <c r="Q10" s="345">
        <f t="shared" si="4"/>
        <v>349221</v>
      </c>
    </row>
    <row r="11" spans="1:17" ht="27" customHeight="1" x14ac:dyDescent="0.15">
      <c r="A11" s="330" t="s">
        <v>214</v>
      </c>
      <c r="B11" s="345">
        <v>6351</v>
      </c>
      <c r="C11" s="237"/>
      <c r="D11" s="28">
        <v>3883</v>
      </c>
      <c r="E11" s="28">
        <v>1264</v>
      </c>
      <c r="F11" s="28">
        <v>263</v>
      </c>
      <c r="G11" s="28">
        <v>806</v>
      </c>
      <c r="H11" s="347">
        <v>1376</v>
      </c>
      <c r="I11" s="349">
        <f t="shared" ref="I11:I13" si="5">SUM(B11:H11)</f>
        <v>13943</v>
      </c>
      <c r="J11" s="344">
        <v>2739</v>
      </c>
      <c r="K11" s="28">
        <v>1084</v>
      </c>
      <c r="L11" s="347">
        <v>1792</v>
      </c>
      <c r="M11" s="349">
        <f t="shared" si="1"/>
        <v>5615</v>
      </c>
      <c r="N11" s="353">
        <v>7026</v>
      </c>
      <c r="O11" s="349">
        <f t="shared" si="2"/>
        <v>7026</v>
      </c>
      <c r="P11" s="350">
        <f t="shared" si="3"/>
        <v>26584</v>
      </c>
      <c r="Q11" s="345">
        <f t="shared" si="4"/>
        <v>375805</v>
      </c>
    </row>
    <row r="12" spans="1:17" ht="27" customHeight="1" x14ac:dyDescent="0.15">
      <c r="A12" s="330" t="s">
        <v>223</v>
      </c>
      <c r="B12" s="345">
        <v>6188</v>
      </c>
      <c r="C12" s="237"/>
      <c r="D12" s="28">
        <v>3627</v>
      </c>
      <c r="E12" s="28">
        <v>1258</v>
      </c>
      <c r="F12" s="28">
        <v>236</v>
      </c>
      <c r="G12" s="28">
        <v>715</v>
      </c>
      <c r="H12" s="347">
        <v>1589</v>
      </c>
      <c r="I12" s="349">
        <f t="shared" si="5"/>
        <v>13613</v>
      </c>
      <c r="J12" s="344">
        <v>2473</v>
      </c>
      <c r="K12" s="28">
        <v>1648</v>
      </c>
      <c r="L12" s="347">
        <v>1798</v>
      </c>
      <c r="M12" s="349">
        <f t="shared" si="1"/>
        <v>5919</v>
      </c>
      <c r="N12" s="353">
        <v>10210</v>
      </c>
      <c r="O12" s="349">
        <f t="shared" si="2"/>
        <v>10210</v>
      </c>
      <c r="P12" s="350">
        <f t="shared" si="3"/>
        <v>29742</v>
      </c>
      <c r="Q12" s="345">
        <f t="shared" si="4"/>
        <v>405547</v>
      </c>
    </row>
    <row r="13" spans="1:17" ht="27" customHeight="1" x14ac:dyDescent="0.15">
      <c r="A13" s="330" t="s">
        <v>229</v>
      </c>
      <c r="B13" s="345">
        <v>5522</v>
      </c>
      <c r="C13" s="237"/>
      <c r="D13" s="28">
        <v>3558</v>
      </c>
      <c r="E13" s="28">
        <v>1219</v>
      </c>
      <c r="F13" s="28">
        <v>179</v>
      </c>
      <c r="G13" s="28">
        <v>579</v>
      </c>
      <c r="H13" s="347">
        <v>1559</v>
      </c>
      <c r="I13" s="349">
        <f t="shared" si="5"/>
        <v>12616</v>
      </c>
      <c r="J13" s="344">
        <v>2647</v>
      </c>
      <c r="K13" s="28">
        <v>1689</v>
      </c>
      <c r="L13" s="347">
        <v>1831</v>
      </c>
      <c r="M13" s="349">
        <f t="shared" si="1"/>
        <v>6167</v>
      </c>
      <c r="N13" s="353">
        <v>10133</v>
      </c>
      <c r="O13" s="349">
        <f t="shared" si="2"/>
        <v>10133</v>
      </c>
      <c r="P13" s="430">
        <f t="shared" si="3"/>
        <v>28916</v>
      </c>
      <c r="Q13" s="345">
        <f t="shared" si="4"/>
        <v>434463</v>
      </c>
    </row>
    <row r="14" spans="1:17" ht="27" customHeight="1" x14ac:dyDescent="0.15">
      <c r="A14" s="330" t="s">
        <v>233</v>
      </c>
      <c r="B14" s="345">
        <v>11272</v>
      </c>
      <c r="C14" s="237"/>
      <c r="D14" s="28">
        <v>3400</v>
      </c>
      <c r="E14" s="28">
        <v>1190</v>
      </c>
      <c r="F14" s="28">
        <v>277</v>
      </c>
      <c r="G14" s="28">
        <v>629</v>
      </c>
      <c r="H14" s="347">
        <v>2676</v>
      </c>
      <c r="I14" s="349">
        <f t="shared" ref="I14" si="6">SUM(B14:H14)</f>
        <v>19444</v>
      </c>
      <c r="J14" s="344">
        <v>8926</v>
      </c>
      <c r="K14" s="28">
        <v>396</v>
      </c>
      <c r="L14" s="347">
        <v>1844</v>
      </c>
      <c r="M14" s="349">
        <f t="shared" si="1"/>
        <v>11166</v>
      </c>
      <c r="N14" s="353">
        <v>22863</v>
      </c>
      <c r="O14" s="349">
        <f t="shared" si="2"/>
        <v>22863</v>
      </c>
      <c r="P14" s="350">
        <f t="shared" si="3"/>
        <v>53473</v>
      </c>
      <c r="Q14" s="345">
        <f t="shared" si="4"/>
        <v>487936</v>
      </c>
    </row>
    <row r="15" spans="1:17" ht="27" customHeight="1" x14ac:dyDescent="0.15">
      <c r="A15" s="244" t="s">
        <v>242</v>
      </c>
      <c r="B15" s="67">
        <v>12261</v>
      </c>
      <c r="C15" s="328"/>
      <c r="D15" s="27">
        <v>3638</v>
      </c>
      <c r="E15" s="27">
        <v>1361</v>
      </c>
      <c r="F15" s="27">
        <v>190</v>
      </c>
      <c r="G15" s="27">
        <v>608</v>
      </c>
      <c r="H15" s="68">
        <v>2724</v>
      </c>
      <c r="I15" s="70">
        <f t="shared" ref="I15" si="7">SUM(B15:H15)</f>
        <v>20782</v>
      </c>
      <c r="J15" s="71">
        <v>9170</v>
      </c>
      <c r="K15" s="456" t="s">
        <v>320</v>
      </c>
      <c r="L15" s="68">
        <v>1940</v>
      </c>
      <c r="M15" s="70">
        <f t="shared" ref="M15" si="8">SUM(J15:L15)</f>
        <v>11110</v>
      </c>
      <c r="N15" s="355">
        <v>18391</v>
      </c>
      <c r="O15" s="70">
        <f t="shared" ref="O15" si="9">N15</f>
        <v>18391</v>
      </c>
      <c r="P15" s="351">
        <f t="shared" ref="P15" si="10">I15+M15+O15</f>
        <v>50283</v>
      </c>
      <c r="Q15" s="67">
        <f t="shared" si="4"/>
        <v>538219</v>
      </c>
    </row>
    <row r="16" spans="1:17" ht="20.25" customHeight="1" x14ac:dyDescent="0.15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</row>
    <row r="17" spans="1:27" ht="12" x14ac:dyDescent="0.15">
      <c r="A17" s="12"/>
      <c r="B17" s="13"/>
      <c r="C17" s="13"/>
      <c r="D17" s="13"/>
      <c r="E17" s="13"/>
      <c r="F17" s="233"/>
      <c r="G17" s="233"/>
      <c r="H17" s="233"/>
      <c r="I17" s="233"/>
      <c r="J17" s="233"/>
      <c r="K17" s="233"/>
      <c r="L17" s="233"/>
      <c r="M17" s="233"/>
      <c r="N17" s="234"/>
      <c r="O17" s="235"/>
      <c r="P17" s="236"/>
      <c r="Q17" s="236"/>
      <c r="R17" s="236"/>
      <c r="S17" s="236"/>
      <c r="T17" s="236"/>
      <c r="U17" s="236"/>
      <c r="V17" s="236"/>
      <c r="W17" s="236"/>
      <c r="X17" s="236"/>
      <c r="Y17" s="236"/>
      <c r="Z17" s="236"/>
      <c r="AA17" s="236"/>
    </row>
    <row r="18" spans="1:27" ht="20.25" customHeight="1" x14ac:dyDescent="0.15">
      <c r="A18" s="12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4"/>
      <c r="O18" s="15"/>
    </row>
    <row r="19" spans="1:27" ht="20.25" customHeight="1" x14ac:dyDescent="0.15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4"/>
      <c r="O19" s="15"/>
    </row>
    <row r="33" spans="14:14" ht="15.75" customHeight="1" x14ac:dyDescent="0.15">
      <c r="N33" s="2"/>
    </row>
  </sheetData>
  <mergeCells count="6">
    <mergeCell ref="Q4:Q5"/>
    <mergeCell ref="A4:A5"/>
    <mergeCell ref="B4:I4"/>
    <mergeCell ref="J4:M4"/>
    <mergeCell ref="N4:O4"/>
    <mergeCell ref="P4:P5"/>
  </mergeCells>
  <phoneticPr fontId="11"/>
  <pageMargins left="0.78740157480314965" right="0.23622047244094491" top="0.94488188976377963" bottom="0.74803149606299213" header="0" footer="0.31496062992125984"/>
  <pageSetup paperSize="9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9</vt:i4>
      </vt:variant>
    </vt:vector>
  </HeadingPairs>
  <TitlesOfParts>
    <vt:vector size="18" baseType="lpstr">
      <vt:lpstr>①②③患者数</vt:lpstr>
      <vt:lpstr>④二次転送</vt:lpstr>
      <vt:lpstr>⑤検査等</vt:lpstr>
      <vt:lpstr>⑥6年5年比較 </vt:lpstr>
      <vt:lpstr>⑦各区毎の患者数</vt:lpstr>
      <vt:lpstr>⑧市内市外受診状況</vt:lpstr>
      <vt:lpstr>⑨年齢別患者数 </vt:lpstr>
      <vt:lpstr>⑩時間帯別総括表 </vt:lpstr>
      <vt:lpstr>⑪診療科目別総括表</vt:lpstr>
      <vt:lpstr>①②③患者数!Print_Area</vt:lpstr>
      <vt:lpstr>④二次転送!Print_Area</vt:lpstr>
      <vt:lpstr>⑤検査等!Print_Area</vt:lpstr>
      <vt:lpstr>'⑥6年5年比較 '!Print_Area</vt:lpstr>
      <vt:lpstr>⑦各区毎の患者数!Print_Area</vt:lpstr>
      <vt:lpstr>⑧市内市外受診状況!Print_Area</vt:lpstr>
      <vt:lpstr>'⑨年齢別患者数 '!Print_Area</vt:lpstr>
      <vt:lpstr>'⑩時間帯別総括表 '!Print_Area</vt:lpstr>
      <vt:lpstr>⑪診療科目別総括表!Print_Area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小山　健太朗</cp:lastModifiedBy>
  <cp:lastPrinted>2026-04-08T08:50:03Z</cp:lastPrinted>
  <dcterms:created xsi:type="dcterms:W3CDTF">2005-05-17T00:16:22Z</dcterms:created>
  <dcterms:modified xsi:type="dcterms:W3CDTF">2026-04-13T08:12:48Z</dcterms:modified>
</cp:coreProperties>
</file>